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ounts\Documents\A - SERVICE CHARGE ACCOUNTS, BUDGETS AND NOTES\2022\Yearly Budget and Notes\Budgets\"/>
    </mc:Choice>
  </mc:AlternateContent>
  <xr:revisionPtr revIDLastSave="0" documentId="8_{7F71D368-66F8-4943-B78E-E5072AABF6EE}" xr6:coauthVersionLast="47" xr6:coauthVersionMax="47" xr10:uidLastSave="{00000000-0000-0000-0000-000000000000}"/>
  <bookViews>
    <workbookView xWindow="-108" yWindow="-108" windowWidth="23256" windowHeight="12576" tabRatio="354" firstSheet="1" activeTab="3" xr2:uid="{00000000-000D-0000-FFFF-FFFF00000000}"/>
  </bookViews>
  <sheets>
    <sheet name="Reserves 2021" sheetId="22" r:id="rId1"/>
    <sheet name="Summary" sheetId="19" r:id="rId2"/>
    <sheet name="CMS, Leisure &amp; Ins" sheetId="20" r:id="rId3"/>
    <sheet name="All Blocks" sheetId="1" r:id="rId4"/>
  </sheets>
  <definedNames>
    <definedName name="_xlnm.Print_Area" localSheetId="3">'All Blocks'!$A$1:$AZ$88</definedName>
    <definedName name="_xlnm.Print_Area" localSheetId="2">'CMS, Leisure &amp; Ins'!$A$1:$AJ$108</definedName>
    <definedName name="_xlnm.Print_Area" localSheetId="0">'Reserves 2021'!$A$1:$J$128</definedName>
    <definedName name="_xlnm.Print_Area" localSheetId="1">Summary!$A$1:$S$59</definedName>
    <definedName name="_xlnm.Print_Titles" localSheetId="3">'All Blocks'!$1:$2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2" l="1"/>
  <c r="H5" i="22" s="1"/>
  <c r="AD35" i="20" l="1"/>
  <c r="AC34" i="20"/>
  <c r="AC33" i="20"/>
  <c r="AC11" i="20" l="1"/>
  <c r="C44" i="19"/>
  <c r="U13" i="1"/>
  <c r="F82" i="22"/>
  <c r="C32" i="22"/>
  <c r="E57" i="20" l="1"/>
  <c r="E39" i="20"/>
  <c r="AT67" i="1"/>
  <c r="AJ67" i="1"/>
  <c r="P67" i="1"/>
  <c r="F67" i="1"/>
  <c r="AJ18" i="1"/>
  <c r="P18" i="1"/>
  <c r="C45" i="19" l="1"/>
  <c r="Q52" i="20"/>
  <c r="E57" i="19"/>
  <c r="C57" i="19" s="1"/>
  <c r="E56" i="19"/>
  <c r="C56" i="19" s="1"/>
  <c r="E55" i="19"/>
  <c r="C55" i="19" s="1"/>
  <c r="E54" i="19"/>
  <c r="C54" i="19" s="1"/>
  <c r="E53" i="19"/>
  <c r="C53" i="19" s="1"/>
  <c r="E52" i="19"/>
  <c r="C52" i="19" s="1"/>
  <c r="E51" i="19"/>
  <c r="C51" i="19" s="1"/>
  <c r="E50" i="19"/>
  <c r="C50" i="19" s="1"/>
  <c r="E49" i="19"/>
  <c r="C49" i="19" s="1"/>
  <c r="E48" i="19"/>
  <c r="C48" i="19" s="1"/>
  <c r="E47" i="19"/>
  <c r="C47" i="19" s="1"/>
  <c r="E46" i="19"/>
  <c r="C46" i="19" s="1"/>
  <c r="E45" i="19"/>
  <c r="E44" i="19"/>
  <c r="D43" i="20"/>
  <c r="AT59" i="1" l="1"/>
  <c r="AJ59" i="1"/>
  <c r="Z59" i="1"/>
  <c r="P59" i="1"/>
  <c r="F59" i="1"/>
  <c r="AT10" i="1"/>
  <c r="AJ10" i="1"/>
  <c r="Z10" i="1"/>
  <c r="P10" i="1"/>
  <c r="F10" i="1"/>
  <c r="Z67" i="1" l="1"/>
  <c r="AT18" i="1"/>
  <c r="Z18" i="1"/>
  <c r="F18" i="1"/>
  <c r="D21" i="20" l="1"/>
  <c r="G59" i="19" l="1"/>
  <c r="D57" i="19"/>
  <c r="F57" i="19" s="1"/>
  <c r="D56" i="19"/>
  <c r="F56" i="19" s="1"/>
  <c r="D55" i="19"/>
  <c r="F55" i="19" s="1"/>
  <c r="D54" i="19"/>
  <c r="F54" i="19" s="1"/>
  <c r="D53" i="19"/>
  <c r="F53" i="19" s="1"/>
  <c r="D52" i="19"/>
  <c r="F52" i="19" s="1"/>
  <c r="D51" i="19"/>
  <c r="F51" i="19" s="1"/>
  <c r="D50" i="19"/>
  <c r="F50" i="19" s="1"/>
  <c r="D49" i="19"/>
  <c r="F49" i="19" s="1"/>
  <c r="D48" i="19"/>
  <c r="F48" i="19" s="1"/>
  <c r="D47" i="19"/>
  <c r="F47" i="19" s="1"/>
  <c r="D46" i="19"/>
  <c r="F46" i="19" s="1"/>
  <c r="D45" i="19"/>
  <c r="F45" i="19" s="1"/>
  <c r="D44" i="19"/>
  <c r="F44" i="19" s="1"/>
  <c r="D67" i="20"/>
  <c r="P16" i="1"/>
  <c r="D59" i="19" l="1"/>
  <c r="F59" i="19" s="1"/>
  <c r="E59" i="19"/>
  <c r="F87" i="22"/>
  <c r="E8" i="1"/>
  <c r="O8" i="1"/>
  <c r="Y8" i="1"/>
  <c r="AI8" i="1"/>
  <c r="AS8" i="1"/>
  <c r="E40" i="1"/>
  <c r="G40" i="1" s="1"/>
  <c r="O10" i="19"/>
  <c r="C19" i="22" s="1"/>
  <c r="O40" i="1"/>
  <c r="Q40" i="1" s="1"/>
  <c r="O44" i="1"/>
  <c r="Q44" i="1" s="1"/>
  <c r="E44" i="1"/>
  <c r="G44" i="1" s="1"/>
  <c r="AB11" i="20"/>
  <c r="AD11" i="20" s="1"/>
  <c r="F67" i="20"/>
  <c r="F101" i="22"/>
  <c r="F108" i="22" s="1"/>
  <c r="F34" i="22"/>
  <c r="C4" i="22"/>
  <c r="D4" i="22"/>
  <c r="J36" i="20" l="1"/>
  <c r="C128" i="22" l="1"/>
  <c r="C118" i="22"/>
  <c r="F128" i="22"/>
  <c r="F118" i="22"/>
  <c r="C108" i="22"/>
  <c r="C97" i="22"/>
  <c r="F97" i="22"/>
  <c r="I108" i="22"/>
  <c r="I97" i="22"/>
  <c r="I87" i="22"/>
  <c r="I75" i="22"/>
  <c r="C87" i="22"/>
  <c r="C75" i="22"/>
  <c r="C65" i="22"/>
  <c r="C54" i="22"/>
  <c r="I65" i="22"/>
  <c r="I54" i="22"/>
  <c r="F65" i="22"/>
  <c r="F54" i="22"/>
  <c r="C44" i="22"/>
  <c r="I44" i="22"/>
  <c r="I32" i="22"/>
  <c r="F44" i="22"/>
  <c r="I47" i="22" l="1"/>
  <c r="C68" i="22"/>
  <c r="C23" i="22"/>
  <c r="C90" i="22"/>
  <c r="C111" i="22"/>
  <c r="I23" i="22"/>
  <c r="F47" i="22"/>
  <c r="C47" i="22"/>
  <c r="I90" i="22"/>
  <c r="F68" i="22"/>
  <c r="I68" i="22"/>
  <c r="F111" i="22"/>
  <c r="F90" i="22"/>
  <c r="C10" i="22" l="1"/>
  <c r="D10" i="22" s="1"/>
  <c r="H10" i="22" s="1"/>
  <c r="C9" i="22"/>
  <c r="D9" i="22" s="1"/>
  <c r="H9" i="22" s="1"/>
  <c r="C7" i="22"/>
  <c r="D7" i="22" s="1"/>
  <c r="H7" i="22" s="1"/>
  <c r="C16" i="22"/>
  <c r="D16" i="22" s="1"/>
  <c r="H16" i="22" s="1"/>
  <c r="C18" i="22"/>
  <c r="D18" i="22" s="1"/>
  <c r="H18" i="22" s="1"/>
  <c r="C17" i="22"/>
  <c r="D17" i="22" s="1"/>
  <c r="H17" i="22" s="1"/>
  <c r="C14" i="22"/>
  <c r="D14" i="22" s="1"/>
  <c r="H14" i="22" s="1"/>
  <c r="C13" i="22"/>
  <c r="D13" i="22" s="1"/>
  <c r="H13" i="22" s="1"/>
  <c r="C12" i="22"/>
  <c r="D12" i="22" s="1"/>
  <c r="H12" i="22" s="1"/>
  <c r="C15" i="22"/>
  <c r="D15" i="22" s="1"/>
  <c r="H15" i="22" s="1"/>
  <c r="C8" i="22"/>
  <c r="D8" i="22" s="1"/>
  <c r="H8" i="22" s="1"/>
  <c r="C5" i="22"/>
  <c r="D5" i="22" s="1"/>
  <c r="G20" i="22"/>
  <c r="F20" i="22"/>
  <c r="E20" i="22"/>
  <c r="B20" i="22"/>
  <c r="D19" i="22"/>
  <c r="U43" i="20"/>
  <c r="K81" i="1"/>
  <c r="O8" i="19" l="1"/>
  <c r="H35" i="20"/>
  <c r="I24" i="20"/>
  <c r="I20" i="20"/>
  <c r="I19" i="20"/>
  <c r="I21" i="20"/>
  <c r="I22" i="20"/>
  <c r="I23" i="20"/>
  <c r="I25" i="20"/>
  <c r="I26" i="20"/>
  <c r="I27" i="20"/>
  <c r="K27" i="20" s="1"/>
  <c r="L81" i="1" l="1"/>
  <c r="D61" i="20"/>
  <c r="F61" i="20" s="1"/>
  <c r="D60" i="20"/>
  <c r="F60" i="20" s="1"/>
  <c r="D59" i="20"/>
  <c r="F59" i="20" s="1"/>
  <c r="D58" i="20"/>
  <c r="F58" i="20" s="1"/>
  <c r="D57" i="20"/>
  <c r="F57" i="20" s="1"/>
  <c r="D56" i="20"/>
  <c r="F56" i="20" s="1"/>
  <c r="C11" i="22"/>
  <c r="D11" i="22" s="1"/>
  <c r="H11" i="22" s="1"/>
  <c r="U11" i="20"/>
  <c r="P63" i="20" l="1"/>
  <c r="R63" i="20" s="1"/>
  <c r="P62" i="20"/>
  <c r="R62" i="20" s="1"/>
  <c r="P42" i="20"/>
  <c r="U42" i="20"/>
  <c r="W42" i="20" s="1"/>
  <c r="P43" i="20"/>
  <c r="R43" i="20" s="1"/>
  <c r="W43" i="20"/>
  <c r="P44" i="20"/>
  <c r="U44" i="20"/>
  <c r="W44" i="20" s="1"/>
  <c r="V28" i="20"/>
  <c r="T28" i="20"/>
  <c r="Q28" i="20"/>
  <c r="V17" i="20"/>
  <c r="T17" i="20"/>
  <c r="Q17" i="20"/>
  <c r="H29" i="20" l="1"/>
  <c r="E29" i="20"/>
  <c r="J29" i="20"/>
  <c r="J53" i="20"/>
  <c r="H53" i="20"/>
  <c r="E53" i="20"/>
  <c r="J42" i="20"/>
  <c r="H42" i="20"/>
  <c r="E42" i="20"/>
  <c r="K35" i="20"/>
  <c r="AE79" i="1"/>
  <c r="AF69" i="1"/>
  <c r="V69" i="1"/>
  <c r="T44" i="1" l="1"/>
  <c r="U44" i="1" s="1"/>
  <c r="S42" i="1"/>
  <c r="S46" i="1" s="1"/>
  <c r="G21" i="19" s="1"/>
  <c r="P42" i="1"/>
  <c r="P46" i="1" s="1"/>
  <c r="D21" i="19" s="1"/>
  <c r="C21" i="19" s="1"/>
  <c r="E21" i="19" s="1"/>
  <c r="T40" i="1"/>
  <c r="Y69" i="1"/>
  <c r="AA69" i="1" s="1"/>
  <c r="Z79" i="1"/>
  <c r="AC79" i="1"/>
  <c r="AD77" i="1"/>
  <c r="AF77" i="1" s="1"/>
  <c r="AD76" i="1"/>
  <c r="AF76" i="1" s="1"/>
  <c r="AD75" i="1"/>
  <c r="AF75" i="1" s="1"/>
  <c r="Y77" i="1"/>
  <c r="AA77" i="1" s="1"/>
  <c r="Y76" i="1"/>
  <c r="AA76" i="1" s="1"/>
  <c r="Y75" i="1"/>
  <c r="AI85" i="1"/>
  <c r="AK85" i="1" s="1"/>
  <c r="O69" i="1"/>
  <c r="Q69" i="1" s="1"/>
  <c r="O81" i="1"/>
  <c r="Q81" i="1" s="1"/>
  <c r="E81" i="1"/>
  <c r="G81" i="1" s="1"/>
  <c r="T42" i="1" l="1"/>
  <c r="T46" i="1" s="1"/>
  <c r="U40" i="1"/>
  <c r="U42" i="1" s="1"/>
  <c r="U46" i="1" s="1"/>
  <c r="I21" i="19" s="1"/>
  <c r="AF79" i="1"/>
  <c r="V44" i="1"/>
  <c r="O42" i="1"/>
  <c r="Q42" i="1" s="1"/>
  <c r="Y79" i="1"/>
  <c r="AA79" i="1" s="1"/>
  <c r="AD79" i="1"/>
  <c r="Q35" i="20"/>
  <c r="Q46" i="20"/>
  <c r="Q59" i="20"/>
  <c r="Q65" i="20"/>
  <c r="E63" i="20"/>
  <c r="E36" i="20"/>
  <c r="E16" i="20"/>
  <c r="V40" i="1" l="1"/>
  <c r="V42" i="1" s="1"/>
  <c r="V46" i="1" s="1"/>
  <c r="O46" i="1"/>
  <c r="Q46" i="1" s="1"/>
  <c r="Q67" i="20"/>
  <c r="Q72" i="20" s="1"/>
  <c r="D9" i="19" s="1"/>
  <c r="AH17" i="20"/>
  <c r="I10" i="19" s="1"/>
  <c r="G10" i="19"/>
  <c r="AC17" i="20"/>
  <c r="D10" i="19" s="1"/>
  <c r="AG15" i="20"/>
  <c r="AI15" i="20" s="1"/>
  <c r="AB15" i="20"/>
  <c r="AG14" i="20"/>
  <c r="AI14" i="20" s="1"/>
  <c r="AB14" i="20"/>
  <c r="AG13" i="20"/>
  <c r="AI13" i="20" s="1"/>
  <c r="AB13" i="20"/>
  <c r="AD13" i="20" s="1"/>
  <c r="AG12" i="20"/>
  <c r="AI12" i="20" s="1"/>
  <c r="AB12" i="20"/>
  <c r="AD12" i="20" s="1"/>
  <c r="AG11" i="20"/>
  <c r="U69" i="20"/>
  <c r="P69" i="20"/>
  <c r="R69" i="20" s="1"/>
  <c r="V65" i="20"/>
  <c r="T65" i="20"/>
  <c r="U63" i="20"/>
  <c r="W63" i="20" s="1"/>
  <c r="U62" i="20"/>
  <c r="V59" i="20"/>
  <c r="T59" i="20"/>
  <c r="U57" i="20"/>
  <c r="W57" i="20" s="1"/>
  <c r="P57" i="20"/>
  <c r="R57" i="20" s="1"/>
  <c r="U56" i="20"/>
  <c r="W56" i="20" s="1"/>
  <c r="P56" i="20"/>
  <c r="R56" i="20" s="1"/>
  <c r="U55" i="20"/>
  <c r="W55" i="20" s="1"/>
  <c r="P55" i="20"/>
  <c r="R55" i="20" s="1"/>
  <c r="U54" i="20"/>
  <c r="W54" i="20" s="1"/>
  <c r="P54" i="20"/>
  <c r="R54" i="20" s="1"/>
  <c r="U53" i="20"/>
  <c r="W53" i="20" s="1"/>
  <c r="P53" i="20"/>
  <c r="R53" i="20" s="1"/>
  <c r="U52" i="20"/>
  <c r="W52" i="20" s="1"/>
  <c r="P52" i="20"/>
  <c r="R52" i="20" s="1"/>
  <c r="U51" i="20"/>
  <c r="W51" i="20" s="1"/>
  <c r="P51" i="20"/>
  <c r="R51" i="20" s="1"/>
  <c r="U50" i="20"/>
  <c r="W50" i="20" s="1"/>
  <c r="P50" i="20"/>
  <c r="R50" i="20" s="1"/>
  <c r="U49" i="20"/>
  <c r="P49" i="20"/>
  <c r="R49" i="20" s="1"/>
  <c r="V46" i="20"/>
  <c r="T46" i="20"/>
  <c r="U41" i="20"/>
  <c r="W41" i="20" s="1"/>
  <c r="P41" i="20"/>
  <c r="R41" i="20" s="1"/>
  <c r="U40" i="20"/>
  <c r="W40" i="20" s="1"/>
  <c r="P40" i="20"/>
  <c r="R40" i="20" s="1"/>
  <c r="U39" i="20"/>
  <c r="W39" i="20" s="1"/>
  <c r="P39" i="20"/>
  <c r="R39" i="20" s="1"/>
  <c r="U38" i="20"/>
  <c r="W38" i="20" s="1"/>
  <c r="P38" i="20"/>
  <c r="R38" i="20" s="1"/>
  <c r="V35" i="20"/>
  <c r="T35" i="20"/>
  <c r="U33" i="20"/>
  <c r="W33" i="20" s="1"/>
  <c r="P33" i="20"/>
  <c r="R33" i="20" s="1"/>
  <c r="U32" i="20"/>
  <c r="W32" i="20" s="1"/>
  <c r="P32" i="20"/>
  <c r="R32" i="20" s="1"/>
  <c r="U31" i="20"/>
  <c r="W31" i="20" s="1"/>
  <c r="P31" i="20"/>
  <c r="R31" i="20" s="1"/>
  <c r="U26" i="20"/>
  <c r="W26" i="20" s="1"/>
  <c r="P26" i="20"/>
  <c r="R26" i="20" s="1"/>
  <c r="U25" i="20"/>
  <c r="W25" i="20" s="1"/>
  <c r="P25" i="20"/>
  <c r="R25" i="20" s="1"/>
  <c r="U24" i="20"/>
  <c r="W24" i="20" s="1"/>
  <c r="P24" i="20"/>
  <c r="R24" i="20" s="1"/>
  <c r="U23" i="20"/>
  <c r="W23" i="20" s="1"/>
  <c r="P23" i="20"/>
  <c r="R23" i="20" s="1"/>
  <c r="U22" i="20"/>
  <c r="W22" i="20" s="1"/>
  <c r="P22" i="20"/>
  <c r="R22" i="20" s="1"/>
  <c r="U21" i="20"/>
  <c r="W21" i="20" s="1"/>
  <c r="P21" i="20"/>
  <c r="R21" i="20" s="1"/>
  <c r="U20" i="20"/>
  <c r="P20" i="20"/>
  <c r="R20" i="20" s="1"/>
  <c r="U15" i="20"/>
  <c r="W15" i="20" s="1"/>
  <c r="P15" i="20"/>
  <c r="R15" i="20" s="1"/>
  <c r="U14" i="20"/>
  <c r="W14" i="20" s="1"/>
  <c r="P14" i="20"/>
  <c r="R14" i="20" s="1"/>
  <c r="U13" i="20"/>
  <c r="W13" i="20" s="1"/>
  <c r="P13" i="20"/>
  <c r="R13" i="20" s="1"/>
  <c r="U12" i="20"/>
  <c r="W12" i="20" s="1"/>
  <c r="P12" i="20"/>
  <c r="R12" i="20" s="1"/>
  <c r="P11" i="20"/>
  <c r="R11" i="20" s="1"/>
  <c r="AN69" i="1"/>
  <c r="AP69" i="1" s="1"/>
  <c r="AI69" i="1"/>
  <c r="AK69" i="1" s="1"/>
  <c r="I72" i="1"/>
  <c r="J66" i="1"/>
  <c r="L66" i="1" s="1"/>
  <c r="AX85" i="1"/>
  <c r="AS85" i="1"/>
  <c r="AU85" i="1" s="1"/>
  <c r="AN85" i="1"/>
  <c r="AO85" i="1" s="1"/>
  <c r="AD85" i="1"/>
  <c r="Y85" i="1"/>
  <c r="AA85" i="1" s="1"/>
  <c r="T85" i="1"/>
  <c r="O85" i="1"/>
  <c r="Q85" i="1" s="1"/>
  <c r="J85" i="1"/>
  <c r="AX81" i="1"/>
  <c r="AD81" i="1"/>
  <c r="T81" i="1"/>
  <c r="AY72" i="1"/>
  <c r="AT72" i="1"/>
  <c r="AO72" i="1"/>
  <c r="AJ72" i="1"/>
  <c r="AE72" i="1"/>
  <c r="AC72" i="1"/>
  <c r="Z72" i="1"/>
  <c r="U72" i="1"/>
  <c r="S72" i="1"/>
  <c r="P72" i="1"/>
  <c r="K72" i="1"/>
  <c r="F72" i="1"/>
  <c r="AX70" i="1"/>
  <c r="AZ70" i="1" s="1"/>
  <c r="AS70" i="1"/>
  <c r="AN70" i="1"/>
  <c r="AP70" i="1" s="1"/>
  <c r="AI70" i="1"/>
  <c r="AD70" i="1"/>
  <c r="AF70" i="1" s="1"/>
  <c r="Y70" i="1"/>
  <c r="T70" i="1"/>
  <c r="V70" i="1" s="1"/>
  <c r="O70" i="1"/>
  <c r="J70" i="1"/>
  <c r="L70" i="1" s="1"/>
  <c r="E70" i="1"/>
  <c r="AX68" i="1"/>
  <c r="AZ68" i="1" s="1"/>
  <c r="AS68" i="1"/>
  <c r="AU68" i="1" s="1"/>
  <c r="AN68" i="1"/>
  <c r="AP68" i="1" s="1"/>
  <c r="AI68" i="1"/>
  <c r="AK68" i="1" s="1"/>
  <c r="AD68" i="1"/>
  <c r="AF68" i="1" s="1"/>
  <c r="Y68" i="1"/>
  <c r="AA68" i="1" s="1"/>
  <c r="T68" i="1"/>
  <c r="V68" i="1" s="1"/>
  <c r="O68" i="1"/>
  <c r="Q68" i="1" s="1"/>
  <c r="AX67" i="1"/>
  <c r="AZ67" i="1" s="1"/>
  <c r="AS67" i="1"/>
  <c r="AU67" i="1" s="1"/>
  <c r="AN67" i="1"/>
  <c r="AP67" i="1" s="1"/>
  <c r="AI67" i="1"/>
  <c r="AK67" i="1" s="1"/>
  <c r="AD67" i="1"/>
  <c r="AF67" i="1" s="1"/>
  <c r="Y67" i="1"/>
  <c r="AA67" i="1" s="1"/>
  <c r="T67" i="1"/>
  <c r="O67" i="1"/>
  <c r="Q67" i="1" s="1"/>
  <c r="J67" i="1"/>
  <c r="L67" i="1" s="1"/>
  <c r="E67" i="1"/>
  <c r="G67" i="1" s="1"/>
  <c r="AX66" i="1"/>
  <c r="AZ66" i="1" s="1"/>
  <c r="AS66" i="1"/>
  <c r="AU66" i="1" s="1"/>
  <c r="AN66" i="1"/>
  <c r="AP66" i="1" s="1"/>
  <c r="AI66" i="1"/>
  <c r="AK66" i="1" s="1"/>
  <c r="AD66" i="1"/>
  <c r="AF66" i="1" s="1"/>
  <c r="Y66" i="1"/>
  <c r="AA66" i="1" s="1"/>
  <c r="T66" i="1"/>
  <c r="V66" i="1" s="1"/>
  <c r="O66" i="1"/>
  <c r="Q66" i="1" s="1"/>
  <c r="E66" i="1"/>
  <c r="G66" i="1" s="1"/>
  <c r="AX65" i="1"/>
  <c r="AZ65" i="1" s="1"/>
  <c r="AS65" i="1"/>
  <c r="AN65" i="1"/>
  <c r="AP65" i="1" s="1"/>
  <c r="AI65" i="1"/>
  <c r="AD65" i="1"/>
  <c r="AF65" i="1" s="1"/>
  <c r="Y65" i="1"/>
  <c r="T65" i="1"/>
  <c r="V65" i="1" s="1"/>
  <c r="O65" i="1"/>
  <c r="Q65" i="1" s="1"/>
  <c r="J65" i="1"/>
  <c r="E65" i="1"/>
  <c r="G65" i="1" s="1"/>
  <c r="AY62" i="1"/>
  <c r="AT62" i="1"/>
  <c r="AO62" i="1"/>
  <c r="AJ62" i="1"/>
  <c r="AE62" i="1"/>
  <c r="Z62" i="1"/>
  <c r="U62" i="1"/>
  <c r="P62" i="1"/>
  <c r="K62" i="1"/>
  <c r="F62" i="1"/>
  <c r="AX60" i="1"/>
  <c r="AZ60" i="1" s="1"/>
  <c r="AS60" i="1"/>
  <c r="AU60" i="1" s="1"/>
  <c r="AN60" i="1"/>
  <c r="AI60" i="1"/>
  <c r="AK60" i="1" s="1"/>
  <c r="AD60" i="1"/>
  <c r="AF60" i="1" s="1"/>
  <c r="Y60" i="1"/>
  <c r="AA60" i="1" s="1"/>
  <c r="T60" i="1"/>
  <c r="V60" i="1" s="1"/>
  <c r="O60" i="1"/>
  <c r="Q60" i="1" s="1"/>
  <c r="J60" i="1"/>
  <c r="L60" i="1" s="1"/>
  <c r="E60" i="1"/>
  <c r="G60" i="1" s="1"/>
  <c r="AX59" i="1"/>
  <c r="AZ59" i="1" s="1"/>
  <c r="AS59" i="1"/>
  <c r="AU59" i="1" s="1"/>
  <c r="AN59" i="1"/>
  <c r="AP59" i="1" s="1"/>
  <c r="AI59" i="1"/>
  <c r="AK59" i="1" s="1"/>
  <c r="AD59" i="1"/>
  <c r="AF59" i="1" s="1"/>
  <c r="Y59" i="1"/>
  <c r="AA59" i="1" s="1"/>
  <c r="T59" i="1"/>
  <c r="V59" i="1" s="1"/>
  <c r="O59" i="1"/>
  <c r="Q59" i="1" s="1"/>
  <c r="J59" i="1"/>
  <c r="L59" i="1" s="1"/>
  <c r="E59" i="1"/>
  <c r="G59" i="1" s="1"/>
  <c r="AX58" i="1"/>
  <c r="AZ58" i="1" s="1"/>
  <c r="AS58" i="1"/>
  <c r="AN58" i="1"/>
  <c r="AP58" i="1" s="1"/>
  <c r="AI58" i="1"/>
  <c r="AD58" i="1"/>
  <c r="AF58" i="1" s="1"/>
  <c r="Y58" i="1"/>
  <c r="T58" i="1"/>
  <c r="V58" i="1" s="1"/>
  <c r="O58" i="1"/>
  <c r="AX57" i="1"/>
  <c r="AS57" i="1"/>
  <c r="AU57" i="1" s="1"/>
  <c r="AN57" i="1"/>
  <c r="AP57" i="1" s="1"/>
  <c r="AI57" i="1"/>
  <c r="AK57" i="1" s="1"/>
  <c r="AD57" i="1"/>
  <c r="AF57" i="1" s="1"/>
  <c r="Y57" i="1"/>
  <c r="AA57" i="1" s="1"/>
  <c r="T57" i="1"/>
  <c r="O57" i="1"/>
  <c r="Q57" i="1" s="1"/>
  <c r="J57" i="1"/>
  <c r="L57" i="1" s="1"/>
  <c r="E57" i="1"/>
  <c r="G57" i="1" s="1"/>
  <c r="AX29" i="1"/>
  <c r="AY29" i="1" s="1"/>
  <c r="AZ29" i="1" s="1"/>
  <c r="AS29" i="1"/>
  <c r="AU29" i="1" s="1"/>
  <c r="AT25" i="1"/>
  <c r="AS25" i="1" s="1"/>
  <c r="AY23" i="1"/>
  <c r="AT23" i="1"/>
  <c r="AX21" i="1"/>
  <c r="AZ21" i="1" s="1"/>
  <c r="AS21" i="1"/>
  <c r="AX19" i="1"/>
  <c r="AZ19" i="1" s="1"/>
  <c r="AS19" i="1"/>
  <c r="AU19" i="1" s="1"/>
  <c r="AX18" i="1"/>
  <c r="AZ18" i="1" s="1"/>
  <c r="AS18" i="1"/>
  <c r="AU18" i="1" s="1"/>
  <c r="AX17" i="1"/>
  <c r="AZ17" i="1" s="1"/>
  <c r="AS17" i="1"/>
  <c r="AU17" i="1" s="1"/>
  <c r="AX16" i="1"/>
  <c r="AS16" i="1"/>
  <c r="AU16" i="1" s="1"/>
  <c r="AY13" i="1"/>
  <c r="AT13" i="1"/>
  <c r="AX11" i="1"/>
  <c r="AZ11" i="1" s="1"/>
  <c r="AS11" i="1"/>
  <c r="AU11" i="1" s="1"/>
  <c r="AX10" i="1"/>
  <c r="AZ10" i="1" s="1"/>
  <c r="AS10" i="1"/>
  <c r="AU10" i="1" s="1"/>
  <c r="AX9" i="1"/>
  <c r="AZ9" i="1" s="1"/>
  <c r="AS9" i="1"/>
  <c r="AU9" i="1" s="1"/>
  <c r="AX8" i="1"/>
  <c r="AZ8" i="1" s="1"/>
  <c r="AU8" i="1"/>
  <c r="AN29" i="1"/>
  <c r="AI29" i="1"/>
  <c r="AK29" i="1" s="1"/>
  <c r="AJ25" i="1"/>
  <c r="AI25" i="1" s="1"/>
  <c r="AO23" i="1"/>
  <c r="AJ23" i="1"/>
  <c r="AN21" i="1"/>
  <c r="AP21" i="1" s="1"/>
  <c r="AI21" i="1"/>
  <c r="AN18" i="1"/>
  <c r="AP18" i="1" s="1"/>
  <c r="AI18" i="1"/>
  <c r="AK18" i="1" s="1"/>
  <c r="AN20" i="1"/>
  <c r="AP20" i="1" s="1"/>
  <c r="AI20" i="1"/>
  <c r="AK20" i="1" s="1"/>
  <c r="AN19" i="1"/>
  <c r="AP19" i="1" s="1"/>
  <c r="AI19" i="1"/>
  <c r="AK19" i="1" s="1"/>
  <c r="AN17" i="1"/>
  <c r="AP17" i="1" s="1"/>
  <c r="AI17" i="1"/>
  <c r="AK17" i="1" s="1"/>
  <c r="AN16" i="1"/>
  <c r="AI16" i="1"/>
  <c r="AK16" i="1" s="1"/>
  <c r="AO13" i="1"/>
  <c r="AJ13" i="1"/>
  <c r="AN11" i="1"/>
  <c r="AP11" i="1" s="1"/>
  <c r="AI11" i="1"/>
  <c r="AK11" i="1" s="1"/>
  <c r="AN10" i="1"/>
  <c r="AP10" i="1" s="1"/>
  <c r="AI10" i="1"/>
  <c r="AK10" i="1" s="1"/>
  <c r="AN9" i="1"/>
  <c r="AP9" i="1" s="1"/>
  <c r="AI9" i="1"/>
  <c r="AK9" i="1" s="1"/>
  <c r="AN8" i="1"/>
  <c r="AP8" i="1" s="1"/>
  <c r="AK8" i="1"/>
  <c r="AD29" i="1"/>
  <c r="AE29" i="1" s="1"/>
  <c r="AF29" i="1" s="1"/>
  <c r="Z25" i="1"/>
  <c r="Y25" i="1" s="1"/>
  <c r="AE23" i="1"/>
  <c r="Z23" i="1"/>
  <c r="AD21" i="1"/>
  <c r="AF21" i="1" s="1"/>
  <c r="Y21" i="1"/>
  <c r="AD19" i="1"/>
  <c r="AF19" i="1" s="1"/>
  <c r="Y19" i="1"/>
  <c r="AA19" i="1" s="1"/>
  <c r="AD18" i="1"/>
  <c r="AF18" i="1" s="1"/>
  <c r="Y18" i="1"/>
  <c r="AA18" i="1" s="1"/>
  <c r="AD17" i="1"/>
  <c r="AF17" i="1" s="1"/>
  <c r="Y17" i="1"/>
  <c r="AA17" i="1" s="1"/>
  <c r="AD16" i="1"/>
  <c r="Y16" i="1"/>
  <c r="AA16" i="1" s="1"/>
  <c r="AE13" i="1"/>
  <c r="Z13" i="1"/>
  <c r="AD11" i="1"/>
  <c r="AF11" i="1" s="1"/>
  <c r="Y11" i="1"/>
  <c r="AA11" i="1" s="1"/>
  <c r="AD10" i="1"/>
  <c r="AF10" i="1" s="1"/>
  <c r="Y10" i="1"/>
  <c r="AA10" i="1" s="1"/>
  <c r="AD9" i="1"/>
  <c r="AF9" i="1" s="1"/>
  <c r="Y9" i="1"/>
  <c r="AA9" i="1" s="1"/>
  <c r="AD8" i="1"/>
  <c r="AF8" i="1" s="1"/>
  <c r="AA8" i="1"/>
  <c r="T29" i="1"/>
  <c r="U29" i="1" s="1"/>
  <c r="V29" i="1" s="1"/>
  <c r="O29" i="1"/>
  <c r="Q29" i="1" s="1"/>
  <c r="T25" i="1"/>
  <c r="U23" i="1"/>
  <c r="P23" i="1"/>
  <c r="T21" i="1"/>
  <c r="V21" i="1" s="1"/>
  <c r="O21" i="1"/>
  <c r="T19" i="1"/>
  <c r="V19" i="1" s="1"/>
  <c r="O19" i="1"/>
  <c r="Q19" i="1" s="1"/>
  <c r="T18" i="1"/>
  <c r="V18" i="1" s="1"/>
  <c r="O18" i="1"/>
  <c r="Q18" i="1" s="1"/>
  <c r="T17" i="1"/>
  <c r="V17" i="1" s="1"/>
  <c r="O17" i="1"/>
  <c r="Q17" i="1" s="1"/>
  <c r="T16" i="1"/>
  <c r="V16" i="1" s="1"/>
  <c r="O16" i="1"/>
  <c r="Q16" i="1" s="1"/>
  <c r="P13" i="1"/>
  <c r="T11" i="1"/>
  <c r="V11" i="1" s="1"/>
  <c r="O11" i="1"/>
  <c r="Q11" i="1" s="1"/>
  <c r="T10" i="1"/>
  <c r="V10" i="1" s="1"/>
  <c r="O10" i="1"/>
  <c r="Q10" i="1" s="1"/>
  <c r="T9" i="1"/>
  <c r="V9" i="1" s="1"/>
  <c r="O9" i="1"/>
  <c r="Q9" i="1" s="1"/>
  <c r="T8" i="1"/>
  <c r="V8" i="1" s="1"/>
  <c r="Q8" i="1"/>
  <c r="AJ83" i="1" l="1"/>
  <c r="C10" i="19"/>
  <c r="E10" i="19" s="1"/>
  <c r="U81" i="1"/>
  <c r="V81" i="1" s="1"/>
  <c r="AE81" i="1"/>
  <c r="AF81" i="1" s="1"/>
  <c r="U25" i="1"/>
  <c r="V25" i="1" s="1"/>
  <c r="AO29" i="1"/>
  <c r="AP29" i="1" s="1"/>
  <c r="AY81" i="1"/>
  <c r="AZ81" i="1" s="1"/>
  <c r="V67" i="20"/>
  <c r="P17" i="20"/>
  <c r="R17" i="20" s="1"/>
  <c r="U17" i="20"/>
  <c r="T67" i="20"/>
  <c r="T72" i="20" s="1"/>
  <c r="G9" i="19" s="1"/>
  <c r="C9" i="19" s="1"/>
  <c r="E9" i="19" s="1"/>
  <c r="AB17" i="20"/>
  <c r="AD17" i="20" s="1"/>
  <c r="AG17" i="20"/>
  <c r="P28" i="20"/>
  <c r="R28" i="20" s="1"/>
  <c r="U28" i="20"/>
  <c r="AI11" i="20"/>
  <c r="AI17" i="20" s="1"/>
  <c r="AC83" i="1"/>
  <c r="AC87" i="1" s="1"/>
  <c r="G19" i="19" s="1"/>
  <c r="Z83" i="1"/>
  <c r="F83" i="1"/>
  <c r="K83" i="1"/>
  <c r="P46" i="20"/>
  <c r="R46" i="20" s="1"/>
  <c r="P35" i="20"/>
  <c r="R35" i="20" s="1"/>
  <c r="P65" i="20"/>
  <c r="R65" i="20" s="1"/>
  <c r="U59" i="20"/>
  <c r="U65" i="20"/>
  <c r="P59" i="20"/>
  <c r="R59" i="20" s="1"/>
  <c r="W20" i="20"/>
  <c r="W28" i="20" s="1"/>
  <c r="V69" i="20"/>
  <c r="W69" i="20" s="1"/>
  <c r="W46" i="20"/>
  <c r="W35" i="20"/>
  <c r="U46" i="20"/>
  <c r="U35" i="20"/>
  <c r="W49" i="20"/>
  <c r="W59" i="20" s="1"/>
  <c r="W62" i="20"/>
  <c r="W65" i="20" s="1"/>
  <c r="W11" i="20"/>
  <c r="W17" i="20" s="1"/>
  <c r="AO83" i="1"/>
  <c r="AO87" i="1" s="1"/>
  <c r="I20" i="19" s="1"/>
  <c r="AM87" i="1"/>
  <c r="G20" i="19" s="1"/>
  <c r="AS62" i="1"/>
  <c r="AU62" i="1" s="1"/>
  <c r="L62" i="1"/>
  <c r="I87" i="1"/>
  <c r="G17" i="19" s="1"/>
  <c r="J68" i="1"/>
  <c r="L68" i="1" s="1"/>
  <c r="E68" i="1"/>
  <c r="E62" i="1"/>
  <c r="G62" i="1" s="1"/>
  <c r="S83" i="1"/>
  <c r="S87" i="1" s="1"/>
  <c r="G18" i="19" s="1"/>
  <c r="O62" i="1"/>
  <c r="Q62" i="1" s="1"/>
  <c r="AW31" i="1"/>
  <c r="G16" i="19" s="1"/>
  <c r="AW87" i="1"/>
  <c r="G22" i="19" s="1"/>
  <c r="AI72" i="1"/>
  <c r="AK72" i="1" s="1"/>
  <c r="AT81" i="1"/>
  <c r="AS81" i="1" s="1"/>
  <c r="AI62" i="1"/>
  <c r="AK62" i="1" s="1"/>
  <c r="T62" i="1"/>
  <c r="AX62" i="1"/>
  <c r="Y72" i="1"/>
  <c r="AA72" i="1" s="1"/>
  <c r="AS72" i="1"/>
  <c r="AU72" i="1" s="1"/>
  <c r="Y62" i="1"/>
  <c r="AA62" i="1" s="1"/>
  <c r="O72" i="1"/>
  <c r="Q72" i="1" s="1"/>
  <c r="J62" i="1"/>
  <c r="AE85" i="1"/>
  <c r="AF85" i="1" s="1"/>
  <c r="AP85" i="1"/>
  <c r="AP72" i="1"/>
  <c r="AF62" i="1"/>
  <c r="AN62" i="1"/>
  <c r="T72" i="1"/>
  <c r="AZ72" i="1"/>
  <c r="L65" i="1"/>
  <c r="AD72" i="1"/>
  <c r="AN72" i="1"/>
  <c r="K85" i="1"/>
  <c r="L85" i="1" s="1"/>
  <c r="AY85" i="1"/>
  <c r="AF72" i="1"/>
  <c r="AX72" i="1"/>
  <c r="AP60" i="1"/>
  <c r="AP62" i="1" s="1"/>
  <c r="AD62" i="1"/>
  <c r="V67" i="1"/>
  <c r="V72" i="1" s="1"/>
  <c r="Y81" i="1"/>
  <c r="AA81" i="1" s="1"/>
  <c r="U85" i="1"/>
  <c r="V85" i="1" s="1"/>
  <c r="AZ57" i="1"/>
  <c r="AZ62" i="1" s="1"/>
  <c r="V57" i="1"/>
  <c r="V62" i="1" s="1"/>
  <c r="AZ13" i="1"/>
  <c r="AS13" i="1"/>
  <c r="AU13" i="1" s="1"/>
  <c r="AX23" i="1"/>
  <c r="AS23" i="1"/>
  <c r="AU23" i="1" s="1"/>
  <c r="AX13" i="1"/>
  <c r="AT27" i="1"/>
  <c r="AT31" i="1" s="1"/>
  <c r="D16" i="19" s="1"/>
  <c r="AZ16" i="1"/>
  <c r="AZ23" i="1" s="1"/>
  <c r="AX25" i="1"/>
  <c r="AI13" i="1"/>
  <c r="AK13" i="1" s="1"/>
  <c r="AM31" i="1"/>
  <c r="G15" i="19" s="1"/>
  <c r="AI23" i="1"/>
  <c r="AK23" i="1" s="1"/>
  <c r="AP13" i="1"/>
  <c r="AN13" i="1"/>
  <c r="AN23" i="1"/>
  <c r="AJ27" i="1"/>
  <c r="AJ31" i="1" s="1"/>
  <c r="D15" i="19" s="1"/>
  <c r="AP16" i="1"/>
  <c r="AP23" i="1" s="1"/>
  <c r="AN25" i="1"/>
  <c r="Y23" i="1"/>
  <c r="AA23" i="1" s="1"/>
  <c r="Y13" i="1"/>
  <c r="AA13" i="1" s="1"/>
  <c r="AD23" i="1"/>
  <c r="AC31" i="1"/>
  <c r="G14" i="19" s="1"/>
  <c r="AD13" i="1"/>
  <c r="Z27" i="1"/>
  <c r="AF13" i="1"/>
  <c r="AF16" i="1"/>
  <c r="AF23" i="1" s="1"/>
  <c r="AD25" i="1"/>
  <c r="O13" i="1"/>
  <c r="Q13" i="1" s="1"/>
  <c r="S31" i="1"/>
  <c r="G13" i="19" s="1"/>
  <c r="P25" i="1"/>
  <c r="O25" i="1" s="1"/>
  <c r="V13" i="1"/>
  <c r="T13" i="1"/>
  <c r="O23" i="1"/>
  <c r="Q23" i="1" s="1"/>
  <c r="T23" i="1"/>
  <c r="V23" i="1"/>
  <c r="J44" i="1"/>
  <c r="J40" i="1"/>
  <c r="K40" i="1" s="1"/>
  <c r="K42" i="1" s="1"/>
  <c r="C15" i="19" l="1"/>
  <c r="E15" i="19" s="1"/>
  <c r="E72" i="1"/>
  <c r="G72" i="1" s="1"/>
  <c r="G68" i="1"/>
  <c r="C16" i="19"/>
  <c r="E16" i="19" s="1"/>
  <c r="U27" i="1"/>
  <c r="U31" i="1" s="1"/>
  <c r="I13" i="19" s="1"/>
  <c r="AY83" i="1"/>
  <c r="AY87" i="1" s="1"/>
  <c r="I22" i="19" s="1"/>
  <c r="U83" i="1"/>
  <c r="U87" i="1" s="1"/>
  <c r="I18" i="19" s="1"/>
  <c r="AE25" i="1"/>
  <c r="AE27" i="1" s="1"/>
  <c r="AE31" i="1" s="1"/>
  <c r="I14" i="19" s="1"/>
  <c r="AY25" i="1"/>
  <c r="AY27" i="1" s="1"/>
  <c r="AY31" i="1" s="1"/>
  <c r="I16" i="19" s="1"/>
  <c r="AE83" i="1"/>
  <c r="AE87" i="1" s="1"/>
  <c r="I19" i="19" s="1"/>
  <c r="AO25" i="1"/>
  <c r="AO27" i="1" s="1"/>
  <c r="AO31" i="1" s="1"/>
  <c r="I15" i="19" s="1"/>
  <c r="AF83" i="1"/>
  <c r="AF87" i="1" s="1"/>
  <c r="V72" i="20"/>
  <c r="P67" i="20"/>
  <c r="W67" i="20"/>
  <c r="W72" i="20" s="1"/>
  <c r="U67" i="20"/>
  <c r="U72" i="20" s="1"/>
  <c r="AD83" i="1"/>
  <c r="AD87" i="1" s="1"/>
  <c r="AI83" i="1"/>
  <c r="Z87" i="1"/>
  <c r="D19" i="19" s="1"/>
  <c r="C19" i="19" s="1"/>
  <c r="E19" i="19" s="1"/>
  <c r="Y83" i="1"/>
  <c r="J72" i="1"/>
  <c r="AZ83" i="1"/>
  <c r="K87" i="1"/>
  <c r="I17" i="19" s="1"/>
  <c r="O83" i="1"/>
  <c r="P83" i="1"/>
  <c r="P87" i="1" s="1"/>
  <c r="D18" i="19" s="1"/>
  <c r="C18" i="19" s="1"/>
  <c r="E18" i="19" s="1"/>
  <c r="AN83" i="1"/>
  <c r="AN87" i="1" s="1"/>
  <c r="AX83" i="1"/>
  <c r="AX87" i="1" s="1"/>
  <c r="AZ85" i="1"/>
  <c r="L72" i="1"/>
  <c r="T83" i="1"/>
  <c r="T87" i="1" s="1"/>
  <c r="AS83" i="1"/>
  <c r="AT83" i="1"/>
  <c r="AT87" i="1" s="1"/>
  <c r="D22" i="19" s="1"/>
  <c r="C22" i="19" s="1"/>
  <c r="E22" i="19" s="1"/>
  <c r="AP83" i="1"/>
  <c r="AP87" i="1" s="1"/>
  <c r="AS27" i="1"/>
  <c r="AJ87" i="1"/>
  <c r="D20" i="19" s="1"/>
  <c r="C20" i="19" s="1"/>
  <c r="E20" i="19" s="1"/>
  <c r="V83" i="1"/>
  <c r="V87" i="1" s="1"/>
  <c r="AX27" i="1"/>
  <c r="AX31" i="1" s="1"/>
  <c r="AI27" i="1"/>
  <c r="Y27" i="1"/>
  <c r="AA27" i="1" s="1"/>
  <c r="AN27" i="1"/>
  <c r="AN31" i="1" s="1"/>
  <c r="V27" i="1"/>
  <c r="V31" i="1" s="1"/>
  <c r="AD27" i="1"/>
  <c r="AD31" i="1" s="1"/>
  <c r="O27" i="1"/>
  <c r="I46" i="1"/>
  <c r="G12" i="19" s="1"/>
  <c r="P27" i="1"/>
  <c r="P31" i="1" s="1"/>
  <c r="D13" i="19" s="1"/>
  <c r="C13" i="19" s="1"/>
  <c r="E13" i="19" s="1"/>
  <c r="T27" i="1"/>
  <c r="T31" i="1" s="1"/>
  <c r="J42" i="1"/>
  <c r="J46" i="1" s="1"/>
  <c r="L40" i="1"/>
  <c r="L42" i="1" s="1"/>
  <c r="K44" i="1"/>
  <c r="K46" i="1" s="1"/>
  <c r="I12" i="19" s="1"/>
  <c r="E83" i="1" l="1"/>
  <c r="G83" i="1" s="1"/>
  <c r="O87" i="1"/>
  <c r="Q87" i="1" s="1"/>
  <c r="Q83" i="1"/>
  <c r="Y87" i="1"/>
  <c r="AA87" i="1" s="1"/>
  <c r="AA83" i="1"/>
  <c r="AI87" i="1"/>
  <c r="AK87" i="1" s="1"/>
  <c r="AK83" i="1"/>
  <c r="AS87" i="1"/>
  <c r="AU87" i="1" s="1"/>
  <c r="AU83" i="1"/>
  <c r="AS31" i="1"/>
  <c r="AU31" i="1" s="1"/>
  <c r="AU27" i="1"/>
  <c r="AI31" i="1"/>
  <c r="AK31" i="1" s="1"/>
  <c r="AK27" i="1"/>
  <c r="O31" i="1"/>
  <c r="Q31" i="1" s="1"/>
  <c r="Q27" i="1"/>
  <c r="P72" i="20"/>
  <c r="R72" i="20" s="1"/>
  <c r="R67" i="20"/>
  <c r="AZ25" i="1"/>
  <c r="AZ27" i="1" s="1"/>
  <c r="AZ31" i="1" s="1"/>
  <c r="AP25" i="1"/>
  <c r="AP27" i="1" s="1"/>
  <c r="AP31" i="1" s="1"/>
  <c r="AF25" i="1"/>
  <c r="AF27" i="1" s="1"/>
  <c r="AF31" i="1" s="1"/>
  <c r="L83" i="1"/>
  <c r="L87" i="1" s="1"/>
  <c r="J83" i="1"/>
  <c r="J87" i="1" s="1"/>
  <c r="AZ87" i="1"/>
  <c r="L44" i="1"/>
  <c r="L46" i="1" s="1"/>
  <c r="E42" i="1"/>
  <c r="F42" i="1"/>
  <c r="F46" i="1" s="1"/>
  <c r="D12" i="19" s="1"/>
  <c r="C12" i="19" s="1"/>
  <c r="E12" i="19" s="1"/>
  <c r="I60" i="20"/>
  <c r="K60" i="20" s="1"/>
  <c r="E46" i="1" l="1"/>
  <c r="G46" i="1" s="1"/>
  <c r="G42" i="1"/>
  <c r="K26" i="20"/>
  <c r="Y29" i="1" l="1"/>
  <c r="Z31" i="1"/>
  <c r="D14" i="19" s="1"/>
  <c r="C14" i="19" s="1"/>
  <c r="E14" i="19" s="1"/>
  <c r="Y31" i="1" l="1"/>
  <c r="AA31" i="1" s="1"/>
  <c r="AA29" i="1"/>
  <c r="D31" i="19"/>
  <c r="I59" i="20" l="1"/>
  <c r="K59" i="20" s="1"/>
  <c r="I58" i="20"/>
  <c r="K58" i="20" s="1"/>
  <c r="I57" i="20"/>
  <c r="K57" i="20" s="1"/>
  <c r="I61" i="20"/>
  <c r="K61" i="20" s="1"/>
  <c r="I56" i="20"/>
  <c r="K56" i="20" s="1"/>
  <c r="I50" i="20"/>
  <c r="K50" i="20" s="1"/>
  <c r="I51" i="20"/>
  <c r="K51" i="20" s="1"/>
  <c r="I49" i="20"/>
  <c r="K49" i="20" s="1"/>
  <c r="I48" i="20"/>
  <c r="K48" i="20" s="1"/>
  <c r="I47" i="20"/>
  <c r="K47" i="20" s="1"/>
  <c r="I46" i="20"/>
  <c r="I45" i="20"/>
  <c r="K45" i="20" s="1"/>
  <c r="I40" i="20"/>
  <c r="K40" i="20" s="1"/>
  <c r="I39" i="20"/>
  <c r="I34" i="20"/>
  <c r="K34" i="20" s="1"/>
  <c r="I33" i="20"/>
  <c r="K33" i="20" s="1"/>
  <c r="I32" i="20"/>
  <c r="K32" i="20" s="1"/>
  <c r="K25" i="20"/>
  <c r="K24" i="20"/>
  <c r="K23" i="20"/>
  <c r="K21" i="20"/>
  <c r="K20" i="20"/>
  <c r="I14" i="20"/>
  <c r="K14" i="20" s="1"/>
  <c r="I13" i="20"/>
  <c r="K13" i="20" s="1"/>
  <c r="I12" i="20"/>
  <c r="I11" i="20"/>
  <c r="K11" i="20" s="1"/>
  <c r="D50" i="20"/>
  <c r="F50" i="20" s="1"/>
  <c r="D40" i="20"/>
  <c r="F40" i="20" s="1"/>
  <c r="J63" i="20"/>
  <c r="J16" i="20"/>
  <c r="D23" i="20"/>
  <c r="F23" i="20" s="1"/>
  <c r="D22" i="20"/>
  <c r="D14" i="20"/>
  <c r="F14" i="20" s="1"/>
  <c r="D13" i="20"/>
  <c r="F13" i="20" s="1"/>
  <c r="D12" i="20"/>
  <c r="F12" i="20" s="1"/>
  <c r="D11" i="20"/>
  <c r="F11" i="20" s="1"/>
  <c r="I29" i="20" l="1"/>
  <c r="I42" i="20"/>
  <c r="K46" i="20"/>
  <c r="K53" i="20" s="1"/>
  <c r="I53" i="20"/>
  <c r="D16" i="20"/>
  <c r="I16" i="20"/>
  <c r="K22" i="20"/>
  <c r="K12" i="20"/>
  <c r="K16" i="20" s="1"/>
  <c r="I36" i="20"/>
  <c r="K36" i="20"/>
  <c r="K63" i="20"/>
  <c r="K19" i="20"/>
  <c r="I63" i="20"/>
  <c r="K39" i="20"/>
  <c r="K42" i="20" s="1"/>
  <c r="K29" i="20" l="1"/>
  <c r="H31" i="19"/>
  <c r="J21" i="1"/>
  <c r="J19" i="1"/>
  <c r="J18" i="1"/>
  <c r="J17" i="1"/>
  <c r="J16" i="1"/>
  <c r="J11" i="1"/>
  <c r="J10" i="1"/>
  <c r="J9" i="1"/>
  <c r="J8" i="1"/>
  <c r="V8" i="20" l="1"/>
  <c r="J8" i="20"/>
  <c r="AH8" i="20"/>
  <c r="AE54" i="1"/>
  <c r="U54" i="1"/>
  <c r="AY5" i="1"/>
  <c r="K5" i="1"/>
  <c r="U5" i="1"/>
  <c r="AY54" i="1"/>
  <c r="K54" i="1"/>
  <c r="AO5" i="1"/>
  <c r="AO54" i="1"/>
  <c r="U38" i="1"/>
  <c r="AE5" i="1"/>
  <c r="K38" i="1"/>
  <c r="I5" i="19"/>
  <c r="K23" i="1"/>
  <c r="L21" i="1"/>
  <c r="L19" i="1"/>
  <c r="L18" i="1"/>
  <c r="L17" i="1"/>
  <c r="K13" i="1"/>
  <c r="L11" i="1"/>
  <c r="L10" i="1"/>
  <c r="L9" i="1"/>
  <c r="L8" i="1"/>
  <c r="E21" i="1"/>
  <c r="E11" i="1"/>
  <c r="G11" i="1" s="1"/>
  <c r="G8" i="1"/>
  <c r="K27" i="1" l="1"/>
  <c r="J23" i="1"/>
  <c r="L13" i="1"/>
  <c r="J13" i="1"/>
  <c r="L16" i="1"/>
  <c r="L23" i="1" s="1"/>
  <c r="J27" i="1" l="1"/>
  <c r="L27" i="1"/>
  <c r="H63" i="20" l="1"/>
  <c r="H36" i="20"/>
  <c r="H16" i="20"/>
  <c r="F16" i="20" s="1"/>
  <c r="H10" i="19" l="1"/>
  <c r="J10" i="19" s="1"/>
  <c r="D49" i="20" l="1"/>
  <c r="F49" i="20" s="1"/>
  <c r="D33" i="20"/>
  <c r="F33" i="20" s="1"/>
  <c r="D24" i="20"/>
  <c r="F24" i="20" s="1"/>
  <c r="D48" i="20"/>
  <c r="F48" i="20" s="1"/>
  <c r="F21" i="20"/>
  <c r="D20" i="20"/>
  <c r="F20" i="20" s="1"/>
  <c r="D51" i="20"/>
  <c r="F51" i="20" s="1"/>
  <c r="D46" i="20"/>
  <c r="F46" i="20" s="1"/>
  <c r="D34" i="20"/>
  <c r="F34" i="20" s="1"/>
  <c r="D25" i="20"/>
  <c r="F25" i="20" s="1"/>
  <c r="D27" i="20"/>
  <c r="F27" i="20" s="1"/>
  <c r="E17" i="1"/>
  <c r="G17" i="1" s="1"/>
  <c r="E18" i="1"/>
  <c r="G18" i="1" s="1"/>
  <c r="E19" i="1"/>
  <c r="G19" i="1" s="1"/>
  <c r="E10" i="1"/>
  <c r="G10" i="1" s="1"/>
  <c r="J29" i="1"/>
  <c r="K29" i="1" s="1"/>
  <c r="K31" i="1" s="1"/>
  <c r="I11" i="19" s="1"/>
  <c r="E29" i="1" l="1"/>
  <c r="G29" i="1" s="1"/>
  <c r="D19" i="20"/>
  <c r="F19" i="20" s="1"/>
  <c r="D45" i="20"/>
  <c r="F45" i="20" s="1"/>
  <c r="D32" i="20"/>
  <c r="D63" i="20"/>
  <c r="F63" i="20" s="1"/>
  <c r="H21" i="19"/>
  <c r="D39" i="20"/>
  <c r="I67" i="20"/>
  <c r="J67" i="20" s="1"/>
  <c r="F23" i="1"/>
  <c r="E16" i="1"/>
  <c r="E9" i="1"/>
  <c r="F13" i="1"/>
  <c r="L29" i="1"/>
  <c r="L31" i="1" s="1"/>
  <c r="J31" i="1"/>
  <c r="D36" i="20" l="1"/>
  <c r="F36" i="20" s="1"/>
  <c r="F32" i="20"/>
  <c r="D42" i="20"/>
  <c r="F42" i="20" s="1"/>
  <c r="F39" i="20"/>
  <c r="E13" i="1"/>
  <c r="G13" i="1" s="1"/>
  <c r="G9" i="1"/>
  <c r="E23" i="1"/>
  <c r="G16" i="1"/>
  <c r="J21" i="19"/>
  <c r="H12" i="19"/>
  <c r="F27" i="1"/>
  <c r="F31" i="1" s="1"/>
  <c r="D11" i="19" s="1"/>
  <c r="I23" i="1"/>
  <c r="I27" i="1" s="1"/>
  <c r="I31" i="1" s="1"/>
  <c r="G11" i="19" s="1"/>
  <c r="C11" i="19" l="1"/>
  <c r="E27" i="1"/>
  <c r="G23" i="1"/>
  <c r="J12" i="19"/>
  <c r="E85" i="1"/>
  <c r="F87" i="1"/>
  <c r="D17" i="19" s="1"/>
  <c r="C17" i="19" s="1"/>
  <c r="E17" i="19" s="1"/>
  <c r="H15" i="19"/>
  <c r="H11" i="19"/>
  <c r="J11" i="19" s="1"/>
  <c r="H19" i="19"/>
  <c r="H20" i="19"/>
  <c r="H22" i="19"/>
  <c r="J22" i="19" s="1"/>
  <c r="H13" i="19"/>
  <c r="J13" i="19" s="1"/>
  <c r="K67" i="20"/>
  <c r="E87" i="1" l="1"/>
  <c r="G87" i="1" s="1"/>
  <c r="G85" i="1"/>
  <c r="E11" i="19"/>
  <c r="E31" i="1"/>
  <c r="G31" i="1" s="1"/>
  <c r="G27" i="1"/>
  <c r="J15" i="19"/>
  <c r="J20" i="19"/>
  <c r="J19" i="19"/>
  <c r="H17" i="19"/>
  <c r="H9" i="19"/>
  <c r="H18" i="19"/>
  <c r="J18" i="19" s="1"/>
  <c r="H16" i="19"/>
  <c r="H14" i="19"/>
  <c r="J14" i="19" l="1"/>
  <c r="J17" i="19"/>
  <c r="J16" i="19"/>
  <c r="F24" i="19"/>
  <c r="D47" i="20" l="1"/>
  <c r="D26" i="20"/>
  <c r="D29" i="20" l="1"/>
  <c r="F29" i="20" s="1"/>
  <c r="F26" i="20"/>
  <c r="D53" i="20"/>
  <c r="F53" i="20" s="1"/>
  <c r="F47" i="20"/>
  <c r="D65" i="20" l="1"/>
  <c r="D69" i="20" s="1"/>
  <c r="E65" i="20"/>
  <c r="E69" i="20" s="1"/>
  <c r="D8" i="19" s="1"/>
  <c r="H65" i="20"/>
  <c r="H69" i="20" s="1"/>
  <c r="F69" i="20" l="1"/>
  <c r="F65" i="20"/>
  <c r="G8" i="19"/>
  <c r="G24" i="19" s="1"/>
  <c r="C8" i="19" l="1"/>
  <c r="C24" i="19" s="1"/>
  <c r="E24" i="19" s="1"/>
  <c r="D24" i="19"/>
  <c r="H8" i="19"/>
  <c r="H24" i="19" s="1"/>
  <c r="I65" i="20"/>
  <c r="I69" i="20" s="1"/>
  <c r="J65" i="20"/>
  <c r="J69" i="20" s="1"/>
  <c r="I8" i="19" s="1"/>
  <c r="E8" i="19" l="1"/>
  <c r="J8" i="19"/>
  <c r="K65" i="20"/>
  <c r="K69" i="20" s="1"/>
  <c r="P71" i="20"/>
  <c r="Q71" i="20"/>
  <c r="T71" i="20"/>
  <c r="U71" i="20"/>
  <c r="V71" i="20"/>
  <c r="I9" i="19" s="1"/>
  <c r="J9" i="19" s="1"/>
  <c r="W71" i="20"/>
  <c r="I24" i="19" l="1"/>
  <c r="J24" i="19"/>
  <c r="F23" i="22"/>
  <c r="C6" i="22" l="1"/>
  <c r="D6" i="22" l="1"/>
  <c r="H6" i="22" s="1"/>
  <c r="H20" i="22" l="1"/>
  <c r="D20" i="22"/>
  <c r="AB35" i="20"/>
</calcChain>
</file>

<file path=xl/sharedStrings.xml><?xml version="1.0" encoding="utf-8"?>
<sst xmlns="http://schemas.openxmlformats.org/spreadsheetml/2006/main" count="776" uniqueCount="364">
  <si>
    <t>Total Expenditure</t>
  </si>
  <si>
    <t>Insurance</t>
  </si>
  <si>
    <t>Lightning Conductor</t>
  </si>
  <si>
    <t>Staff Costs</t>
  </si>
  <si>
    <t>Leisure Facilities</t>
  </si>
  <si>
    <t>Pool Chemicals</t>
  </si>
  <si>
    <t>Gas</t>
  </si>
  <si>
    <t>INSURANCE</t>
  </si>
  <si>
    <t>Directors &amp; Officers</t>
  </si>
  <si>
    <t>Garages</t>
  </si>
  <si>
    <t>Day to Day Maintenance</t>
  </si>
  <si>
    <t>Fire Extinguisher Maintenance</t>
  </si>
  <si>
    <t>Window Cleaning</t>
  </si>
  <si>
    <t>Consumables and Light Bulbs</t>
  </si>
  <si>
    <t>Bank Charges</t>
  </si>
  <si>
    <t>Communal Costs</t>
  </si>
  <si>
    <t>Internal Cleaning</t>
  </si>
  <si>
    <t>Day to day Maintenance</t>
  </si>
  <si>
    <t>Maintenance Costs</t>
  </si>
  <si>
    <t>Fire Alarm Maintenance</t>
  </si>
  <si>
    <t>Administration Costs</t>
  </si>
  <si>
    <t>Office Telephone</t>
  </si>
  <si>
    <t>Office Stationery and Consumables</t>
  </si>
  <si>
    <t>Sundry Expenses</t>
  </si>
  <si>
    <t>Cleaning Costs</t>
  </si>
  <si>
    <t>Pool Costs</t>
  </si>
  <si>
    <t>Electricity</t>
  </si>
  <si>
    <t>Lift Costs</t>
  </si>
  <si>
    <t>Estate &amp; Grounds Maintenance</t>
  </si>
  <si>
    <t>Utilities &amp; Electrical Costs</t>
  </si>
  <si>
    <t>Health and Safety</t>
  </si>
  <si>
    <t>Uniforms (including Protective Clothing)</t>
  </si>
  <si>
    <t>Telephone Lines for Gates</t>
  </si>
  <si>
    <t>Budget</t>
  </si>
  <si>
    <t>Pool Maintenance and Repairs</t>
  </si>
  <si>
    <t>Spa Maintenance and Repairs</t>
  </si>
  <si>
    <t>Gym Maintenance and Repairs</t>
  </si>
  <si>
    <t>Boiler Maintenance and Repairs</t>
  </si>
  <si>
    <t>Air Handling Maintenance and Repairs</t>
  </si>
  <si>
    <t>Water Cooler</t>
  </si>
  <si>
    <t>Alexandra</t>
  </si>
  <si>
    <t>Alexandra Building</t>
  </si>
  <si>
    <t>Cliffe</t>
  </si>
  <si>
    <t>Edward</t>
  </si>
  <si>
    <t>Kingswood</t>
  </si>
  <si>
    <t>Muxlow</t>
  </si>
  <si>
    <t>Peveril</t>
  </si>
  <si>
    <t>Sheaf 1</t>
  </si>
  <si>
    <t>Sheaf 2</t>
  </si>
  <si>
    <t>Sheaf 3 Apartments</t>
  </si>
  <si>
    <t>Sheaf 3 Building</t>
  </si>
  <si>
    <t>Victoria</t>
  </si>
  <si>
    <t>Leisure Suite</t>
  </si>
  <si>
    <t>Security measures</t>
  </si>
  <si>
    <t>Security</t>
  </si>
  <si>
    <t>Commercial Combined</t>
  </si>
  <si>
    <t>Estate Lighting and Repairs</t>
  </si>
  <si>
    <t>Window Cleaning - external</t>
  </si>
  <si>
    <t>Window and Glass Cleaning - internal</t>
  </si>
  <si>
    <t>Sauna Maintenance and Repairs</t>
  </si>
  <si>
    <t>Roads, Drains &amp; Severe Weather Maintenance</t>
  </si>
  <si>
    <t>Community, Communications &amp; Website</t>
  </si>
  <si>
    <t>Staff Training Regulatory (Health &amp; Safety)</t>
  </si>
  <si>
    <t>Fire Alarm System Maintenance</t>
  </si>
  <si>
    <t>Property Owners &amp; PL Insurance</t>
  </si>
  <si>
    <t>Leisure Suite Utilities</t>
  </si>
  <si>
    <t>Gates - H&amp;S, Repairs and Maintenance</t>
  </si>
  <si>
    <t xml:space="preserve">Management </t>
  </si>
  <si>
    <t>Finance and Accounting</t>
  </si>
  <si>
    <t>Legal</t>
  </si>
  <si>
    <t>LEISURE SUITE</t>
  </si>
  <si>
    <t>Block Management</t>
  </si>
  <si>
    <t xml:space="preserve">Block Management </t>
  </si>
  <si>
    <t>Staff Expenses</t>
  </si>
  <si>
    <t>Lift Maintenance/Service</t>
  </si>
  <si>
    <t>Statutory Insurance inspections</t>
  </si>
  <si>
    <t>Variance</t>
  </si>
  <si>
    <t>Contribution to reserves</t>
  </si>
  <si>
    <t>Contribution to Reserves</t>
  </si>
  <si>
    <t>Staff Salaries and Employment Costs (inc pension contributions)</t>
  </si>
  <si>
    <t xml:space="preserve">Ombudsman Services Scheme </t>
  </si>
  <si>
    <t>Site valuation</t>
  </si>
  <si>
    <t>Actual</t>
  </si>
  <si>
    <t>Pest Control</t>
  </si>
  <si>
    <t>Light duty equipment maintenance</t>
  </si>
  <si>
    <t>Light Equipment misc costs</t>
  </si>
  <si>
    <t>Book-keeping &amp; Admin &amp; Payroll</t>
  </si>
  <si>
    <t>Carpet Cleaning/machinery</t>
  </si>
  <si>
    <t>IT and network costs/monthly software/broadband</t>
  </si>
  <si>
    <t>General Administrative costs/stamps</t>
  </si>
  <si>
    <t>HR/Staffing/Job Adverts/HR Advice/Payroll Software</t>
  </si>
  <si>
    <t>Garden/Grounds Maintenance &amp; extra planting</t>
  </si>
  <si>
    <t>Contractor Cleaning</t>
  </si>
  <si>
    <t>Water (Leisure &amp; estate external taps)</t>
  </si>
  <si>
    <t>Door Entry System &amp; Door Maintenance</t>
  </si>
  <si>
    <t>Hygiene Services &amp; Urinal Cartridges</t>
  </si>
  <si>
    <t>Major Equipment</t>
  </si>
  <si>
    <t>Emergency Light Testing &amp; Repairs</t>
  </si>
  <si>
    <t>Carpet cleaning</t>
  </si>
  <si>
    <t>Fire Alarm Maintenance/Smoke Ventilation</t>
  </si>
  <si>
    <t>Full Year</t>
  </si>
  <si>
    <t>&lt;----- Budget -----&gt;</t>
  </si>
  <si>
    <t>Total prior to reserves</t>
  </si>
  <si>
    <t>Total Communal Costs</t>
  </si>
  <si>
    <t>Total Maintenance Costs</t>
  </si>
  <si>
    <t>Communal Management &amp; Administration</t>
  </si>
  <si>
    <t>Total Staff Costs</t>
  </si>
  <si>
    <t>Total Administration Costs</t>
  </si>
  <si>
    <t>Total Management Costs</t>
  </si>
  <si>
    <t>Total Security Costs</t>
  </si>
  <si>
    <t>Total Utilities &amp; Electrical Costs</t>
  </si>
  <si>
    <t>Total Estate &amp; Grounds Maintenance</t>
  </si>
  <si>
    <t>Total Cleaning Costs</t>
  </si>
  <si>
    <t>Total Pool Costs</t>
  </si>
  <si>
    <t>Total Leisure Suite Utilities</t>
  </si>
  <si>
    <t>Total Leisure Facilities</t>
  </si>
  <si>
    <t>Total Lift Costs</t>
  </si>
  <si>
    <t>ALEXANDRA APARTMENTS</t>
  </si>
  <si>
    <t>ALEXANDRA BUILDING</t>
  </si>
  <si>
    <t>CLIFFE</t>
  </si>
  <si>
    <t>EDWARD</t>
  </si>
  <si>
    <t>KINGSWOOD</t>
  </si>
  <si>
    <t>MUXLOW</t>
  </si>
  <si>
    <t>SHEAF 2</t>
  </si>
  <si>
    <t>SHEAF 3 APARTMENTS</t>
  </si>
  <si>
    <t>TOTAL EXPENDITURE SUMMARY</t>
  </si>
  <si>
    <t>Andrews hot water system</t>
  </si>
  <si>
    <t>Misc site costs</t>
  </si>
  <si>
    <t>Office equipment</t>
  </si>
  <si>
    <t>Month to Compare Current Year's Expenditure to Budget</t>
  </si>
  <si>
    <t>&lt;------------</t>
  </si>
  <si>
    <t>-------------&gt;</t>
  </si>
  <si>
    <t>Year</t>
  </si>
  <si>
    <t>Changing the number of months that Actual Expenditure is being entered for (e.g. 9 for September), will automatically change the formula and the heading on each page.</t>
  </si>
  <si>
    <t>* 2020 Service Charges (Colmun F) initially taken from Matrix 2020, then updated from 2020 Service Charge Accounts when available.</t>
  </si>
  <si>
    <t>October, 2019</t>
  </si>
  <si>
    <t>Column K</t>
  </si>
  <si>
    <t xml:space="preserve"> </t>
  </si>
  <si>
    <t>NL code</t>
  </si>
  <si>
    <t xml:space="preserve">REPORTING PERIOD </t>
  </si>
  <si>
    <t>PEVERIL</t>
  </si>
  <si>
    <t>SHEAF 1</t>
  </si>
  <si>
    <t xml:space="preserve">VICTORIA </t>
  </si>
  <si>
    <t>SHEAF BUILDING</t>
  </si>
  <si>
    <t>NL Code</t>
  </si>
  <si>
    <t>Lift Maintenance Costs</t>
  </si>
  <si>
    <t>Lift Maintenance/Annual Service</t>
  </si>
  <si>
    <t>Statutory Insurance Inspections</t>
  </si>
  <si>
    <t>Lift Telephone Lines</t>
  </si>
  <si>
    <t>Total Lift Maintenance Costs</t>
  </si>
  <si>
    <t xml:space="preserve">Fobs </t>
  </si>
  <si>
    <t>Electrical and Lighting Repairs &amp; Bulbs</t>
  </si>
  <si>
    <t>Council bin rental charge (new cost in 2020)</t>
  </si>
  <si>
    <t>LEISURE</t>
  </si>
  <si>
    <t>ALEX.  APTS</t>
  </si>
  <si>
    <t>ALEX. BUILDINGS</t>
  </si>
  <si>
    <t xml:space="preserve">SHEAF 2 </t>
  </si>
  <si>
    <t>SHEAF 3 APS</t>
  </si>
  <si>
    <t>SHEAF BLDS</t>
  </si>
  <si>
    <t>VICTORIA</t>
  </si>
  <si>
    <t>TOTAL</t>
  </si>
  <si>
    <t>ESTATES / NL 3100</t>
  </si>
  <si>
    <t>LEISURE SUITE / NL 3101</t>
  </si>
  <si>
    <t>ALEXANDRA APARTMENT/ NL 3102</t>
  </si>
  <si>
    <t>Date:</t>
  </si>
  <si>
    <t>Description:</t>
  </si>
  <si>
    <t>ALEXANDRA BUILDING / NL 3103</t>
  </si>
  <si>
    <t>CLIFFE / NL 3104</t>
  </si>
  <si>
    <t>EDWARD / NL 3105</t>
  </si>
  <si>
    <t>KINGSWOOD / NL 3106</t>
  </si>
  <si>
    <t>MUXLOW  / NL 3107</t>
  </si>
  <si>
    <t>PEVERIL / NL 3108</t>
  </si>
  <si>
    <t>SHEAF 1 / NL 3109</t>
  </si>
  <si>
    <t>SHEAF 2 / NL 3110</t>
  </si>
  <si>
    <t>SHEAF 3 APARTMENTS / NL 3111</t>
  </si>
  <si>
    <t>SHEAF 3 BUILDING RESERVE / NL 3112</t>
  </si>
  <si>
    <t>VICTORIA  / NL 3113</t>
  </si>
  <si>
    <t>ESTATES (incs Insurance surplus/deficit adjustments)</t>
  </si>
  <si>
    <t xml:space="preserve">Opening position: 01 January 2021 as per draft SC accounts </t>
  </si>
  <si>
    <t>Contribution to Reserves 2021</t>
  </si>
  <si>
    <t xml:space="preserve">2021 in year surplus / deficit - year end adjustment </t>
  </si>
  <si>
    <t>Pool cover supply</t>
  </si>
  <si>
    <t>14.01.21</t>
  </si>
  <si>
    <t>25.02.21</t>
  </si>
  <si>
    <t>10.03.21</t>
  </si>
  <si>
    <t>01.04.21</t>
  </si>
  <si>
    <t xml:space="preserve">Pool Cover 50% </t>
  </si>
  <si>
    <t>DB switch room/swimming</t>
  </si>
  <si>
    <t>Pool cover balance</t>
  </si>
  <si>
    <t>05.01.21</t>
  </si>
  <si>
    <t xml:space="preserve">77AG roof survey </t>
  </si>
  <si>
    <t>12.03.21</t>
  </si>
  <si>
    <t>Yorkshire Roofing survey</t>
  </si>
  <si>
    <t>07.03.21</t>
  </si>
  <si>
    <t>Investigate roof leaks 36VC</t>
  </si>
  <si>
    <t>08.04.21</t>
  </si>
  <si>
    <t>Roof repairs/leak 36VC</t>
  </si>
  <si>
    <t>08.02.21</t>
  </si>
  <si>
    <t>19.02.21</t>
  </si>
  <si>
    <t>LED upgrades</t>
  </si>
  <si>
    <t>22OM Balcony edge clean</t>
  </si>
  <si>
    <t>18.02.21</t>
  </si>
  <si>
    <t>Replace Intercom station</t>
  </si>
  <si>
    <t>Andrew's hot water replaced</t>
  </si>
  <si>
    <t>New DB pool plant room</t>
  </si>
  <si>
    <t>TOTAL INCOME SUMMARY</t>
  </si>
  <si>
    <t xml:space="preserve">Transfer Fund Fee Income </t>
  </si>
  <si>
    <t>Share Certificate Income</t>
  </si>
  <si>
    <t>Resales Packs Income</t>
  </si>
  <si>
    <t xml:space="preserve">Transfer Fee income </t>
  </si>
  <si>
    <t xml:space="preserve">Bank Interest received </t>
  </si>
  <si>
    <t xml:space="preserve">Fob Income </t>
  </si>
  <si>
    <t>Total Income</t>
  </si>
  <si>
    <t>TRANSFER FEE FUND</t>
  </si>
  <si>
    <t>21.04.21</t>
  </si>
  <si>
    <t>Insurance excess trans Q1</t>
  </si>
  <si>
    <t>19.03.21</t>
  </si>
  <si>
    <t>LED EM replacement</t>
  </si>
  <si>
    <t>15.02.21</t>
  </si>
  <si>
    <t>Lift Lobby lift gear trays</t>
  </si>
  <si>
    <t xml:space="preserve">Emergency Spend </t>
  </si>
  <si>
    <t xml:space="preserve">Planned Maintenance spend </t>
  </si>
  <si>
    <t>12.04.21</t>
  </si>
  <si>
    <t>26.03.21</t>
  </si>
  <si>
    <t>LED upgrade/replacements</t>
  </si>
  <si>
    <t>10.05.21</t>
  </si>
  <si>
    <t xml:space="preserve">New x2 bikes </t>
  </si>
  <si>
    <t>25.05.21</t>
  </si>
  <si>
    <t>Abutment work - roof repair</t>
  </si>
  <si>
    <t xml:space="preserve">Dry ridge roof work repair </t>
  </si>
  <si>
    <t>25.06.21</t>
  </si>
  <si>
    <t>18.03.21</t>
  </si>
  <si>
    <t>Lightning prot. Remedia works</t>
  </si>
  <si>
    <t>02.07.21</t>
  </si>
  <si>
    <t>Decorating re roof leak</t>
  </si>
  <si>
    <t>07.05.21</t>
  </si>
  <si>
    <t>Redecoration Com. Area/leak</t>
  </si>
  <si>
    <t>Actual reserve spend 2021 as at</t>
  </si>
  <si>
    <t>Current reserve position (before adjustments) as at</t>
  </si>
  <si>
    <t>Scaffolding roof work - May</t>
  </si>
  <si>
    <t>02.08.21</t>
  </si>
  <si>
    <t>New Ram and top hinges - OM gates</t>
  </si>
  <si>
    <t>09.07.21</t>
  </si>
  <si>
    <t>22.07.21</t>
  </si>
  <si>
    <t>Gutter clearance</t>
  </si>
  <si>
    <t>31.07.21</t>
  </si>
  <si>
    <t xml:space="preserve">MAC - surveyor report </t>
  </si>
  <si>
    <t>16.07.21</t>
  </si>
  <si>
    <t xml:space="preserve">Soffitt redecoration </t>
  </si>
  <si>
    <t>29.07.21</t>
  </si>
  <si>
    <t xml:space="preserve">Outstanding redecoration </t>
  </si>
  <si>
    <t>Soffitts and render redecoration</t>
  </si>
  <si>
    <t>Soffitts and facia redecoration</t>
  </si>
  <si>
    <t>check fig</t>
  </si>
  <si>
    <t>Total</t>
  </si>
  <si>
    <t>24.08.21</t>
  </si>
  <si>
    <t>Skip for bin store</t>
  </si>
  <si>
    <t>12.08.21</t>
  </si>
  <si>
    <t>Replace baby changing unit</t>
  </si>
  <si>
    <t>supply/install refub chem unit</t>
  </si>
  <si>
    <t>21.08.21</t>
  </si>
  <si>
    <t>17.07.21</t>
  </si>
  <si>
    <t xml:space="preserve">Roof repairs - 16UD </t>
  </si>
  <si>
    <t>28.01.21</t>
  </si>
  <si>
    <t xml:space="preserve">Emergency lighting </t>
  </si>
  <si>
    <t>03.09.21</t>
  </si>
  <si>
    <t>Fix slates, chimney inspection, pull test</t>
  </si>
  <si>
    <t>31.08.21</t>
  </si>
  <si>
    <t>lfbb legal advice re repair obligations</t>
  </si>
  <si>
    <t>Pull test above 63 &amp; 11/12OW</t>
  </si>
  <si>
    <t>Pull test, slate repairds and chimney inspection</t>
  </si>
  <si>
    <t>Pull test &amp; 12Om balcony</t>
  </si>
  <si>
    <t>Pull test on front gable etc</t>
  </si>
  <si>
    <t>Fix missing slates and pull test</t>
  </si>
  <si>
    <t xml:space="preserve">Electrical remedial work </t>
  </si>
  <si>
    <t>6x new sauna elements</t>
  </si>
  <si>
    <t>% change -  2021</t>
  </si>
  <si>
    <t>Variance to 2021 Charges</t>
  </si>
  <si>
    <t>Terrorism cover inc in above figures</t>
  </si>
  <si>
    <t>Variance to 2021 Budget</t>
  </si>
  <si>
    <t>BUDGET - 2022</t>
  </si>
  <si>
    <t>&lt;- Budget -----&gt;</t>
  </si>
  <si>
    <t>Administration chrges - BoL</t>
  </si>
  <si>
    <t>Emergency Light Repair &amp; Testing</t>
  </si>
  <si>
    <t>EICR Testing (next due 2024)</t>
  </si>
  <si>
    <t xml:space="preserve">Cleaning Materials &amp; Consumables </t>
  </si>
  <si>
    <t>Covid 19 additional costs (new 2020, removed in 2022)</t>
  </si>
  <si>
    <t>EICR Testing - (annual requirement)</t>
  </si>
  <si>
    <t>Contribution to reserve</t>
  </si>
  <si>
    <t>Variance to 2021 Charge</t>
  </si>
  <si>
    <t>CONTRIBUTION TO RESERVES</t>
  </si>
  <si>
    <t>Service Charge Budgets &amp; Reserve contribution for 2022</t>
  </si>
  <si>
    <t>30.09.21</t>
  </si>
  <si>
    <t xml:space="preserve">Correct 11.19 roof repairs </t>
  </si>
  <si>
    <t>Reallocated part 11.19 roof repairs to LS reserves</t>
  </si>
  <si>
    <t>reallocate 11.19 scaffolding costs to S3 building reserves</t>
  </si>
  <si>
    <t>reallocated 11.19 scaffolding costs from S3 apartemnts reserves</t>
  </si>
  <si>
    <r>
      <t>Year end transfer in from Transfer Fee Fund   - year end adjustment</t>
    </r>
    <r>
      <rPr>
        <b/>
        <sz val="9"/>
        <color rgb="FFFF0000"/>
        <rFont val="Arial"/>
        <family val="2"/>
      </rPr>
      <t xml:space="preserve">. 
TFF TRANSFERS CANCELLED 21.09.21 BOD APPROVED </t>
    </r>
  </si>
  <si>
    <t xml:space="preserve">OW wall repointing </t>
  </si>
  <si>
    <t>15.09.21</t>
  </si>
  <si>
    <t>EDS drain investigation and roof cutting required</t>
  </si>
  <si>
    <t>24.09.21</t>
  </si>
  <si>
    <t>23.09.21</t>
  </si>
  <si>
    <t>Roof/Chimney work</t>
  </si>
  <si>
    <t xml:space="preserve">Communal Electricity </t>
  </si>
  <si>
    <t>Fire Risk &amp; Door Assessments/Remedial works / Signage</t>
  </si>
  <si>
    <t>Fire Risk &amp; Door Assessments/Remedial work/Signage</t>
  </si>
  <si>
    <t>Previous CPI figure:</t>
  </si>
  <si>
    <t>September, 2020</t>
  </si>
  <si>
    <t>13.10.21</t>
  </si>
  <si>
    <t xml:space="preserve">Bin Stores refurbishment </t>
  </si>
  <si>
    <t>Repair gable end above 45OM</t>
  </si>
  <si>
    <t>Cost per householder</t>
  </si>
  <si>
    <t xml:space="preserve">Estate Electricity </t>
  </si>
  <si>
    <t>15.10.21</t>
  </si>
  <si>
    <t>Osborne Rd-wall repointing</t>
  </si>
  <si>
    <t>14.10.21</t>
  </si>
  <si>
    <t>New roof bins stores-Ed&amp;Sheaf</t>
  </si>
  <si>
    <t>19.10.21</t>
  </si>
  <si>
    <t>21.10.21</t>
  </si>
  <si>
    <t>10.11.21</t>
  </si>
  <si>
    <t>Repointing boundary wall</t>
  </si>
  <si>
    <t>16.11.21</t>
  </si>
  <si>
    <t>Replace Sat. dish OW</t>
  </si>
  <si>
    <t xml:space="preserve">Scaffolding sat. dish </t>
  </si>
  <si>
    <t>New hydraulic ram/control gate - for 2nd ram</t>
  </si>
  <si>
    <t>Repairs to sat dish</t>
  </si>
  <si>
    <t>Access platform for above</t>
  </si>
  <si>
    <t>19.12.21</t>
  </si>
  <si>
    <t>01.11.21</t>
  </si>
  <si>
    <t>New cable and dish required</t>
  </si>
  <si>
    <t xml:space="preserve">Replace front gutters </t>
  </si>
  <si>
    <t xml:space="preserve">Scaffolding for gutters </t>
  </si>
  <si>
    <t>18.11.21</t>
  </si>
  <si>
    <t>Scaffolding for chinmey repairs</t>
  </si>
  <si>
    <t>09.11.21</t>
  </si>
  <si>
    <t xml:space="preserve">External redecoration </t>
  </si>
  <si>
    <t>25.11.21</t>
  </si>
  <si>
    <t xml:space="preserve">Scaffolding for 67AG brick vent </t>
  </si>
  <si>
    <t>Internal staircase redecoration</t>
  </si>
  <si>
    <t>Various redecoration work</t>
  </si>
  <si>
    <t xml:space="preserve">Faulty intercom replaced </t>
  </si>
  <si>
    <t xml:space="preserve">Platform access </t>
  </si>
  <si>
    <t>23.11.21</t>
  </si>
  <si>
    <t>Meter room ceiling repair</t>
  </si>
  <si>
    <t>Various redecoration works</t>
  </si>
  <si>
    <t xml:space="preserve">Platform access for works </t>
  </si>
  <si>
    <t>Scaffolding costs for works</t>
  </si>
  <si>
    <t>13.12.21</t>
  </si>
  <si>
    <t xml:space="preserve">New gutters </t>
  </si>
  <si>
    <t xml:space="preserve">Slate work </t>
  </si>
  <si>
    <t>Platform access for above</t>
  </si>
  <si>
    <t>17.12.21</t>
  </si>
  <si>
    <t>ANALYSIS OF THE INDIVIDUAL RESERVE ACCOUNTS FOR 2021 -  BUDGET REPORT AS AT:</t>
  </si>
  <si>
    <t>AS AT 30 NOVEMBER 2021 - M11</t>
  </si>
  <si>
    <t>November</t>
  </si>
  <si>
    <t>Statutory Lift Inspections (Engineering Risk)</t>
  </si>
  <si>
    <t>This charge are show in the individual blocks</t>
  </si>
  <si>
    <t>Leisure Suite - NL 4452</t>
  </si>
  <si>
    <t>Sheaf 2- NL 7052</t>
  </si>
  <si>
    <t>Inflation Factor, CPI 12 months to November 2021</t>
  </si>
  <si>
    <t>Final draft version /20.12.21</t>
  </si>
  <si>
    <t>01.01.2021 to 30.11.2021 (M11)</t>
  </si>
  <si>
    <t xml:space="preserve">Estimated closing reverve position as at year end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</si>
</sst>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#,##0;[Red]\(#,##0\)"/>
    <numFmt numFmtId="165" formatCode="_-* #,##0_-;\-* #,##0_-;_-* &quot;-&quot;??_-;_-@_-"/>
    <numFmt numFmtId="166" formatCode="0.0%"/>
    <numFmt numFmtId="167" formatCode="#,##0_ ;[Red]\-#,##0\ "/>
    <numFmt numFmtId="168" formatCode="&quot;£&quot;#,##0.00"/>
    <numFmt numFmtId="169" formatCode="0_ ;[Red]\-0\ "/>
    <numFmt numFmtId="170" formatCode="&quot;£&quot;#,##0"/>
    <numFmt numFmtId="171" formatCode="[$-809]dd\ mmmm\ yyyy;@"/>
  </numFmts>
  <fonts count="9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rgb="FF7030A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6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6"/>
      <color indexed="8"/>
      <name val="Calibri"/>
      <family val="2"/>
      <scheme val="minor"/>
    </font>
    <font>
      <sz val="10"/>
      <name val="Calibri"/>
      <family val="2"/>
      <scheme val="minor"/>
    </font>
    <font>
      <sz val="15"/>
      <name val="Calibri"/>
      <family val="2"/>
      <scheme val="minor"/>
    </font>
    <font>
      <u/>
      <sz val="10"/>
      <color theme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1" tint="0.499984740745262"/>
      <name val="Calibri"/>
      <family val="2"/>
      <scheme val="minor"/>
    </font>
    <font>
      <b/>
      <sz val="1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1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sz val="10"/>
      <name val="Tahoma"/>
      <family val="2"/>
    </font>
    <font>
      <b/>
      <sz val="20"/>
      <name val="Calibri"/>
      <family val="2"/>
      <scheme val="minor"/>
    </font>
    <font>
      <sz val="20"/>
      <color indexed="8"/>
      <name val="Calibri"/>
      <family val="2"/>
      <scheme val="minor"/>
    </font>
    <font>
      <b/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9"/>
      <color rgb="FF0070C0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7D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/>
      <diagonal/>
    </border>
    <border>
      <left style="thin">
        <color theme="3" tint="0.79995117038483843"/>
      </left>
      <right/>
      <top style="thin">
        <color theme="3" tint="0.79995117038483843"/>
      </top>
      <bottom style="thin">
        <color theme="3" tint="0.79995117038483843"/>
      </bottom>
      <diagonal/>
    </border>
    <border>
      <left/>
      <right/>
      <top style="thin">
        <color theme="3" tint="0.79995117038483843"/>
      </top>
      <bottom style="thin">
        <color theme="3" tint="0.79995117038483843"/>
      </bottom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/>
      <diagonal/>
    </border>
    <border>
      <left style="thin">
        <color theme="3" tint="0.79995117038483843"/>
      </left>
      <right style="thin">
        <color theme="3" tint="0.79995117038483843"/>
      </right>
      <top/>
      <bottom/>
      <diagonal/>
    </border>
    <border>
      <left style="thin">
        <color theme="3" tint="0.79995117038483843"/>
      </left>
      <right style="thin">
        <color theme="3" tint="0.79995117038483843"/>
      </right>
      <top/>
      <bottom style="thin">
        <color theme="3" tint="0.7999511703848384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3" tint="0.79995117038483843"/>
      </top>
      <bottom style="thin">
        <color theme="3" tint="0.79995117038483843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5117038483843"/>
      </top>
      <bottom/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511703848384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3" tint="0.79995117038483843"/>
      </top>
      <bottom style="thin">
        <color theme="3" tint="0.7999511703848384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11" fillId="0" borderId="0"/>
    <xf numFmtId="0" fontId="11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23" borderId="7" applyNumberFormat="0" applyFont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64" fillId="0" borderId="0" applyNumberFormat="0" applyFill="0" applyBorder="0" applyAlignment="0" applyProtection="0"/>
  </cellStyleXfs>
  <cellXfs count="827">
    <xf numFmtId="0" fontId="0" fillId="0" borderId="0" xfId="0"/>
    <xf numFmtId="0" fontId="34" fillId="0" borderId="0" xfId="0" applyFont="1" applyAlignment="1">
      <alignment vertical="center"/>
    </xf>
    <xf numFmtId="164" fontId="35" fillId="0" borderId="0" xfId="37" applyNumberFormat="1" applyFont="1" applyAlignment="1">
      <alignment vertical="center"/>
    </xf>
    <xf numFmtId="164" fontId="34" fillId="0" borderId="0" xfId="37" applyNumberFormat="1" applyFont="1" applyAlignment="1">
      <alignment vertical="center"/>
    </xf>
    <xf numFmtId="164" fontId="33" fillId="0" borderId="0" xfId="37" applyNumberFormat="1" applyFont="1" applyAlignment="1">
      <alignment vertical="center"/>
    </xf>
    <xf numFmtId="164" fontId="32" fillId="0" borderId="0" xfId="37" applyNumberFormat="1" applyFont="1" applyAlignment="1">
      <alignment vertical="center"/>
    </xf>
    <xf numFmtId="0" fontId="34" fillId="0" borderId="0" xfId="0" applyFont="1" applyBorder="1" applyAlignment="1">
      <alignment vertical="center"/>
    </xf>
    <xf numFmtId="165" fontId="34" fillId="0" borderId="0" xfId="57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44" fillId="0" borderId="0" xfId="37" applyFont="1" applyAlignment="1">
      <alignment vertical="center"/>
    </xf>
    <xf numFmtId="0" fontId="34" fillId="0" borderId="0" xfId="0" applyFont="1"/>
    <xf numFmtId="164" fontId="32" fillId="0" borderId="0" xfId="37" applyNumberFormat="1" applyFont="1"/>
    <xf numFmtId="164" fontId="34" fillId="0" borderId="0" xfId="0" applyNumberFormat="1" applyFont="1" applyBorder="1"/>
    <xf numFmtId="0" fontId="43" fillId="0" borderId="0" xfId="37" applyFont="1"/>
    <xf numFmtId="164" fontId="34" fillId="0" borderId="0" xfId="37" applyNumberFormat="1" applyFont="1"/>
    <xf numFmtId="164" fontId="33" fillId="0" borderId="10" xfId="55" applyNumberFormat="1" applyFont="1" applyBorder="1"/>
    <xf numFmtId="0" fontId="44" fillId="0" borderId="0" xfId="55" applyFont="1" applyAlignment="1">
      <alignment vertical="center"/>
    </xf>
    <xf numFmtId="0" fontId="32" fillId="0" borderId="0" xfId="55" applyFont="1" applyAlignment="1">
      <alignment vertical="center"/>
    </xf>
    <xf numFmtId="0" fontId="43" fillId="0" borderId="0" xfId="55" applyFont="1" applyAlignment="1">
      <alignment vertical="center"/>
    </xf>
    <xf numFmtId="164" fontId="47" fillId="0" borderId="0" xfId="55" applyNumberFormat="1" applyFont="1" applyAlignment="1">
      <alignment vertical="center"/>
    </xf>
    <xf numFmtId="164" fontId="52" fillId="0" borderId="0" xfId="55" applyNumberFormat="1" applyFont="1" applyAlignment="1">
      <alignment vertical="center"/>
    </xf>
    <xf numFmtId="167" fontId="50" fillId="0" borderId="0" xfId="57" applyNumberFormat="1" applyFont="1" applyAlignment="1">
      <alignment vertical="center"/>
    </xf>
    <xf numFmtId="167" fontId="52" fillId="0" borderId="0" xfId="57" applyNumberFormat="1" applyFont="1" applyAlignment="1">
      <alignment vertical="center"/>
    </xf>
    <xf numFmtId="167" fontId="51" fillId="0" borderId="0" xfId="0" applyNumberFormat="1" applyFont="1" applyAlignment="1">
      <alignment vertical="center"/>
    </xf>
    <xf numFmtId="167" fontId="52" fillId="0" borderId="0" xfId="0" applyNumberFormat="1" applyFont="1" applyAlignment="1">
      <alignment vertical="center"/>
    </xf>
    <xf numFmtId="167" fontId="51" fillId="0" borderId="0" xfId="57" applyNumberFormat="1" applyFont="1" applyAlignment="1">
      <alignment vertical="center"/>
    </xf>
    <xf numFmtId="167" fontId="48" fillId="0" borderId="10" xfId="57" applyNumberFormat="1" applyFont="1" applyBorder="1" applyAlignment="1">
      <alignment vertical="center"/>
    </xf>
    <xf numFmtId="167" fontId="49" fillId="0" borderId="10" xfId="57" applyNumberFormat="1" applyFont="1" applyBorder="1" applyAlignment="1">
      <alignment vertical="center"/>
    </xf>
    <xf numFmtId="167" fontId="47" fillId="0" borderId="10" xfId="57" applyNumberFormat="1" applyFont="1" applyBorder="1" applyAlignment="1">
      <alignment vertical="center"/>
    </xf>
    <xf numFmtId="164" fontId="35" fillId="0" borderId="0" xfId="55" applyNumberFormat="1" applyFont="1" applyAlignment="1">
      <alignment vertical="center"/>
    </xf>
    <xf numFmtId="167" fontId="34" fillId="0" borderId="0" xfId="0" applyNumberFormat="1" applyFont="1" applyAlignment="1">
      <alignment vertical="center"/>
    </xf>
    <xf numFmtId="164" fontId="34" fillId="0" borderId="0" xfId="55" applyNumberFormat="1" applyFont="1" applyAlignment="1">
      <alignment vertical="center"/>
    </xf>
    <xf numFmtId="167" fontId="42" fillId="0" borderId="10" xfId="57" applyNumberFormat="1" applyFont="1" applyBorder="1" applyAlignment="1">
      <alignment vertical="center"/>
    </xf>
    <xf numFmtId="167" fontId="38" fillId="0" borderId="10" xfId="57" applyNumberFormat="1" applyFont="1" applyBorder="1" applyAlignment="1">
      <alignment vertical="center"/>
    </xf>
    <xf numFmtId="167" fontId="35" fillId="0" borderId="10" xfId="57" applyNumberFormat="1" applyFont="1" applyBorder="1" applyAlignment="1">
      <alignment vertical="center"/>
    </xf>
    <xf numFmtId="164" fontId="42" fillId="0" borderId="10" xfId="0" applyNumberFormat="1" applyFont="1" applyBorder="1"/>
    <xf numFmtId="164" fontId="38" fillId="0" borderId="10" xfId="0" applyNumberFormat="1" applyFont="1" applyBorder="1"/>
    <xf numFmtId="164" fontId="35" fillId="0" borderId="10" xfId="0" applyNumberFormat="1" applyFont="1" applyBorder="1"/>
    <xf numFmtId="164" fontId="39" fillId="0" borderId="0" xfId="0" applyNumberFormat="1" applyFont="1" applyBorder="1"/>
    <xf numFmtId="164" fontId="42" fillId="0" borderId="10" xfId="55" applyNumberFormat="1" applyFont="1" applyBorder="1"/>
    <xf numFmtId="164" fontId="38" fillId="0" borderId="10" xfId="55" applyNumberFormat="1" applyFont="1" applyBorder="1"/>
    <xf numFmtId="167" fontId="37" fillId="0" borderId="10" xfId="0" applyNumberFormat="1" applyFont="1" applyBorder="1" applyAlignment="1">
      <alignment vertical="center"/>
    </xf>
    <xf numFmtId="167" fontId="42" fillId="0" borderId="0" xfId="57" applyNumberFormat="1" applyFont="1" applyBorder="1" applyAlignment="1">
      <alignment vertical="center"/>
    </xf>
    <xf numFmtId="167" fontId="38" fillId="0" borderId="0" xfId="57" applyNumberFormat="1" applyFont="1" applyBorder="1" applyAlignment="1">
      <alignment vertical="center"/>
    </xf>
    <xf numFmtId="167" fontId="35" fillId="0" borderId="0" xfId="57" applyNumberFormat="1" applyFont="1" applyBorder="1" applyAlignment="1">
      <alignment vertical="center"/>
    </xf>
    <xf numFmtId="167" fontId="33" fillId="0" borderId="10" xfId="57" applyNumberFormat="1" applyFont="1" applyBorder="1" applyAlignment="1">
      <alignment vertical="center"/>
    </xf>
    <xf numFmtId="167" fontId="34" fillId="0" borderId="0" xfId="57" applyNumberFormat="1" applyFont="1" applyBorder="1"/>
    <xf numFmtId="167" fontId="39" fillId="0" borderId="10" xfId="0" applyNumberFormat="1" applyFont="1" applyBorder="1"/>
    <xf numFmtId="167" fontId="37" fillId="0" borderId="10" xfId="0" applyNumberFormat="1" applyFont="1" applyBorder="1"/>
    <xf numFmtId="167" fontId="34" fillId="0" borderId="10" xfId="0" applyNumberFormat="1" applyFont="1" applyBorder="1"/>
    <xf numFmtId="167" fontId="39" fillId="0" borderId="0" xfId="0" applyNumberFormat="1" applyFont="1" applyBorder="1"/>
    <xf numFmtId="167" fontId="34" fillId="0" borderId="0" xfId="0" applyNumberFormat="1" applyFont="1" applyBorder="1"/>
    <xf numFmtId="167" fontId="42" fillId="0" borderId="10" xfId="55" applyNumberFormat="1" applyFont="1" applyBorder="1"/>
    <xf numFmtId="167" fontId="38" fillId="0" borderId="10" xfId="55" applyNumberFormat="1" applyFont="1" applyBorder="1"/>
    <xf numFmtId="167" fontId="33" fillId="0" borderId="10" xfId="55" applyNumberFormat="1" applyFont="1" applyBorder="1"/>
    <xf numFmtId="167" fontId="38" fillId="0" borderId="10" xfId="57" applyNumberFormat="1" applyFont="1" applyBorder="1"/>
    <xf numFmtId="167" fontId="35" fillId="0" borderId="10" xfId="57" applyNumberFormat="1" applyFont="1" applyBorder="1"/>
    <xf numFmtId="167" fontId="35" fillId="0" borderId="10" xfId="0" applyNumberFormat="1" applyFont="1" applyBorder="1"/>
    <xf numFmtId="167" fontId="42" fillId="0" borderId="10" xfId="0" applyNumberFormat="1" applyFont="1" applyBorder="1"/>
    <xf numFmtId="167" fontId="38" fillId="0" borderId="10" xfId="0" applyNumberFormat="1" applyFont="1" applyBorder="1"/>
    <xf numFmtId="167" fontId="35" fillId="0" borderId="0" xfId="0" applyNumberFormat="1" applyFont="1" applyBorder="1"/>
    <xf numFmtId="167" fontId="37" fillId="0" borderId="0" xfId="0" applyNumberFormat="1" applyFont="1" applyFill="1" applyBorder="1"/>
    <xf numFmtId="167" fontId="53" fillId="0" borderId="0" xfId="0" applyNumberFormat="1" applyFont="1" applyAlignment="1">
      <alignment vertical="center"/>
    </xf>
    <xf numFmtId="0" fontId="53" fillId="0" borderId="0" xfId="0" applyFont="1" applyAlignment="1">
      <alignment vertical="center"/>
    </xf>
    <xf numFmtId="167" fontId="37" fillId="0" borderId="10" xfId="55" applyNumberFormat="1" applyFont="1" applyFill="1" applyBorder="1"/>
    <xf numFmtId="164" fontId="34" fillId="0" borderId="0" xfId="37" applyNumberFormat="1" applyFont="1" applyBorder="1" applyAlignment="1">
      <alignment vertical="center"/>
    </xf>
    <xf numFmtId="164" fontId="46" fillId="0" borderId="0" xfId="37" applyNumberFormat="1" applyFont="1" applyBorder="1" applyAlignment="1">
      <alignment vertical="center"/>
    </xf>
    <xf numFmtId="167" fontId="35" fillId="0" borderId="10" xfId="0" applyNumberFormat="1" applyFont="1" applyBorder="1" applyAlignment="1">
      <alignment vertical="center"/>
    </xf>
    <xf numFmtId="0" fontId="34" fillId="0" borderId="0" xfId="0" applyFont="1" applyAlignment="1">
      <alignment horizontal="center" vertical="center"/>
    </xf>
    <xf numFmtId="167" fontId="34" fillId="0" borderId="0" xfId="0" applyNumberFormat="1" applyFont="1" applyBorder="1" applyAlignment="1">
      <alignment vertical="center"/>
    </xf>
    <xf numFmtId="0" fontId="34" fillId="0" borderId="0" xfId="0" applyFont="1" applyFill="1" applyAlignment="1">
      <alignment vertical="center"/>
    </xf>
    <xf numFmtId="167" fontId="39" fillId="0" borderId="10" xfId="0" applyNumberFormat="1" applyFont="1" applyBorder="1" applyAlignment="1">
      <alignment vertical="center"/>
    </xf>
    <xf numFmtId="167" fontId="34" fillId="0" borderId="10" xfId="0" applyNumberFormat="1" applyFont="1" applyBorder="1" applyAlignment="1">
      <alignment vertical="center"/>
    </xf>
    <xf numFmtId="167" fontId="35" fillId="0" borderId="0" xfId="0" applyNumberFormat="1" applyFont="1" applyBorder="1" applyAlignment="1">
      <alignment vertical="center"/>
    </xf>
    <xf numFmtId="0" fontId="38" fillId="0" borderId="0" xfId="55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164" fontId="38" fillId="0" borderId="0" xfId="37" applyNumberFormat="1" applyFont="1" applyAlignment="1">
      <alignment vertical="center"/>
    </xf>
    <xf numFmtId="164" fontId="37" fillId="0" borderId="0" xfId="37" applyNumberFormat="1" applyFont="1" applyAlignment="1">
      <alignment vertical="center"/>
    </xf>
    <xf numFmtId="0" fontId="37" fillId="0" borderId="0" xfId="0" applyFont="1" applyAlignment="1">
      <alignment vertical="center"/>
    </xf>
    <xf numFmtId="164" fontId="37" fillId="0" borderId="0" xfId="55" applyNumberFormat="1" applyFont="1" applyAlignment="1">
      <alignment vertical="center"/>
    </xf>
    <xf numFmtId="0" fontId="37" fillId="0" borderId="0" xfId="37" applyFont="1" applyAlignment="1">
      <alignment vertical="center"/>
    </xf>
    <xf numFmtId="0" fontId="38" fillId="0" borderId="0" xfId="37" applyFont="1" applyAlignment="1">
      <alignment vertical="center"/>
    </xf>
    <xf numFmtId="164" fontId="38" fillId="0" borderId="0" xfId="55" applyNumberFormat="1" applyFont="1" applyBorder="1"/>
    <xf numFmtId="167" fontId="38" fillId="0" borderId="0" xfId="55" applyNumberFormat="1" applyFont="1" applyBorder="1"/>
    <xf numFmtId="0" fontId="59" fillId="0" borderId="0" xfId="0" applyFont="1" applyBorder="1" applyAlignment="1">
      <alignment vertical="center"/>
    </xf>
    <xf numFmtId="0" fontId="59" fillId="0" borderId="0" xfId="0" applyFont="1" applyBorder="1" applyAlignment="1">
      <alignment horizontal="center" vertical="center"/>
    </xf>
    <xf numFmtId="0" fontId="59" fillId="0" borderId="0" xfId="0" applyFont="1" applyAlignment="1">
      <alignment vertical="center"/>
    </xf>
    <xf numFmtId="164" fontId="34" fillId="0" borderId="0" xfId="55" applyNumberFormat="1" applyFont="1"/>
    <xf numFmtId="0" fontId="35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 wrapText="1"/>
    </xf>
    <xf numFmtId="167" fontId="38" fillId="0" borderId="0" xfId="57" applyNumberFormat="1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1" fontId="37" fillId="0" borderId="0" xfId="0" applyNumberFormat="1" applyFont="1" applyFill="1" applyAlignment="1">
      <alignment vertical="center"/>
    </xf>
    <xf numFmtId="0" fontId="37" fillId="0" borderId="0" xfId="0" applyFont="1" applyFill="1"/>
    <xf numFmtId="0" fontId="38" fillId="0" borderId="0" xfId="0" applyFont="1" applyFill="1" applyBorder="1" applyAlignment="1">
      <alignment vertical="center"/>
    </xf>
    <xf numFmtId="0" fontId="32" fillId="0" borderId="0" xfId="55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165" fontId="34" fillId="0" borderId="0" xfId="57" applyNumberFormat="1" applyFont="1" applyFill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167" fontId="37" fillId="0" borderId="10" xfId="0" applyNumberFormat="1" applyFont="1" applyFill="1" applyBorder="1" applyAlignment="1">
      <alignment vertical="center"/>
    </xf>
    <xf numFmtId="167" fontId="38" fillId="0" borderId="10" xfId="57" applyNumberFormat="1" applyFont="1" applyFill="1" applyBorder="1" applyAlignment="1">
      <alignment vertical="center"/>
    </xf>
    <xf numFmtId="164" fontId="38" fillId="0" borderId="10" xfId="55" applyNumberFormat="1" applyFont="1" applyFill="1" applyBorder="1"/>
    <xf numFmtId="167" fontId="38" fillId="0" borderId="10" xfId="0" applyNumberFormat="1" applyFont="1" applyFill="1" applyBorder="1"/>
    <xf numFmtId="167" fontId="38" fillId="0" borderId="10" xfId="55" applyNumberFormat="1" applyFont="1" applyFill="1" applyBorder="1"/>
    <xf numFmtId="167" fontId="49" fillId="0" borderId="10" xfId="57" applyNumberFormat="1" applyFont="1" applyFill="1" applyBorder="1" applyAlignment="1">
      <alignment vertical="center"/>
    </xf>
    <xf numFmtId="164" fontId="38" fillId="0" borderId="10" xfId="0" applyNumberFormat="1" applyFont="1" applyFill="1" applyBorder="1"/>
    <xf numFmtId="167" fontId="38" fillId="0" borderId="10" xfId="57" applyNumberFormat="1" applyFont="1" applyFill="1" applyBorder="1"/>
    <xf numFmtId="167" fontId="37" fillId="0" borderId="10" xfId="0" applyNumberFormat="1" applyFont="1" applyFill="1" applyBorder="1"/>
    <xf numFmtId="0" fontId="35" fillId="0" borderId="0" xfId="0" applyFont="1" applyFill="1" applyBorder="1" applyAlignment="1">
      <alignment horizontal="center" vertical="center"/>
    </xf>
    <xf numFmtId="0" fontId="38" fillId="0" borderId="0" xfId="0" applyFont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164" fontId="33" fillId="0" borderId="0" xfId="55" applyNumberFormat="1" applyFont="1" applyAlignment="1">
      <alignment vertical="center"/>
    </xf>
    <xf numFmtId="0" fontId="63" fillId="0" borderId="18" xfId="0" applyFont="1" applyBorder="1" applyAlignment="1">
      <alignment vertical="center"/>
    </xf>
    <xf numFmtId="0" fontId="34" fillId="0" borderId="0" xfId="0" applyFont="1" applyBorder="1"/>
    <xf numFmtId="0" fontId="34" fillId="0" borderId="0" xfId="0" applyFont="1" applyFill="1"/>
    <xf numFmtId="167" fontId="32" fillId="0" borderId="10" xfId="55" applyNumberFormat="1" applyFont="1" applyBorder="1"/>
    <xf numFmtId="167" fontId="39" fillId="0" borderId="10" xfId="55" applyNumberFormat="1" applyFont="1" applyBorder="1"/>
    <xf numFmtId="167" fontId="37" fillId="0" borderId="10" xfId="55" applyNumberFormat="1" applyFont="1" applyBorder="1"/>
    <xf numFmtId="0" fontId="59" fillId="0" borderId="0" xfId="0" applyFont="1" applyFill="1" applyBorder="1" applyAlignment="1">
      <alignment horizontal="center"/>
    </xf>
    <xf numFmtId="164" fontId="38" fillId="0" borderId="0" xfId="55" applyNumberFormat="1" applyFont="1" applyFill="1" applyBorder="1"/>
    <xf numFmtId="167" fontId="38" fillId="0" borderId="0" xfId="0" applyNumberFormat="1" applyFont="1" applyFill="1" applyBorder="1"/>
    <xf numFmtId="167" fontId="38" fillId="0" borderId="0" xfId="55" applyNumberFormat="1" applyFont="1" applyFill="1" applyBorder="1"/>
    <xf numFmtId="0" fontId="34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35" fillId="28" borderId="0" xfId="0" quotePrefix="1" applyFont="1" applyFill="1" applyAlignment="1">
      <alignment horizontal="center" vertical="center"/>
    </xf>
    <xf numFmtId="0" fontId="35" fillId="28" borderId="0" xfId="59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34" fillId="0" borderId="25" xfId="0" applyFont="1" applyBorder="1" applyAlignment="1">
      <alignment vertical="center"/>
    </xf>
    <xf numFmtId="0" fontId="34" fillId="0" borderId="25" xfId="0" applyFont="1" applyFill="1" applyBorder="1" applyAlignment="1">
      <alignment vertical="center"/>
    </xf>
    <xf numFmtId="0" fontId="37" fillId="0" borderId="25" xfId="37" applyFont="1" applyFill="1" applyBorder="1" applyAlignment="1">
      <alignment vertical="center"/>
    </xf>
    <xf numFmtId="0" fontId="37" fillId="0" borderId="26" xfId="37" applyFont="1" applyFill="1" applyBorder="1" applyAlignment="1">
      <alignment vertical="center"/>
    </xf>
    <xf numFmtId="0" fontId="34" fillId="0" borderId="27" xfId="0" applyFont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8" fillId="0" borderId="0" xfId="37" applyFont="1" applyFill="1" applyBorder="1" applyAlignment="1">
      <alignment vertical="center"/>
    </xf>
    <xf numFmtId="0" fontId="38" fillId="0" borderId="28" xfId="37" applyFont="1" applyFill="1" applyBorder="1" applyAlignment="1">
      <alignment vertical="center"/>
    </xf>
    <xf numFmtId="0" fontId="43" fillId="0" borderId="0" xfId="37" applyFont="1" applyBorder="1" applyAlignment="1">
      <alignment vertical="center"/>
    </xf>
    <xf numFmtId="0" fontId="35" fillId="0" borderId="28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 wrapText="1"/>
    </xf>
    <xf numFmtId="0" fontId="0" fillId="28" borderId="0" xfId="0" quotePrefix="1" applyFill="1" applyBorder="1"/>
    <xf numFmtId="0" fontId="35" fillId="28" borderId="28" xfId="0" quotePrefix="1" applyFont="1" applyFill="1" applyBorder="1" applyAlignment="1">
      <alignment horizontal="center" vertical="center"/>
    </xf>
    <xf numFmtId="0" fontId="38" fillId="0" borderId="28" xfId="0" applyFont="1" applyFill="1" applyBorder="1" applyAlignment="1">
      <alignment vertical="center" wrapText="1"/>
    </xf>
    <xf numFmtId="164" fontId="38" fillId="0" borderId="0" xfId="37" applyNumberFormat="1" applyFont="1" applyFill="1" applyBorder="1" applyAlignment="1">
      <alignment vertical="center"/>
    </xf>
    <xf numFmtId="164" fontId="35" fillId="0" borderId="0" xfId="37" applyNumberFormat="1" applyFont="1" applyBorder="1" applyAlignment="1">
      <alignment vertical="center"/>
    </xf>
    <xf numFmtId="164" fontId="38" fillId="0" borderId="28" xfId="37" applyNumberFormat="1" applyFont="1" applyFill="1" applyBorder="1" applyAlignment="1">
      <alignment vertical="center"/>
    </xf>
    <xf numFmtId="167" fontId="39" fillId="0" borderId="27" xfId="57" applyNumberFormat="1" applyFont="1" applyBorder="1" applyAlignment="1">
      <alignment vertical="center"/>
    </xf>
    <xf numFmtId="164" fontId="37" fillId="26" borderId="0" xfId="55" applyNumberFormat="1" applyFont="1" applyFill="1" applyBorder="1" applyAlignment="1">
      <alignment vertical="center"/>
    </xf>
    <xf numFmtId="164" fontId="37" fillId="0" borderId="0" xfId="55" applyNumberFormat="1" applyFont="1" applyFill="1" applyBorder="1" applyAlignment="1">
      <alignment vertical="center"/>
    </xf>
    <xf numFmtId="167" fontId="34" fillId="0" borderId="0" xfId="57" applyNumberFormat="1" applyFont="1" applyBorder="1" applyAlignment="1">
      <alignment vertical="center"/>
    </xf>
    <xf numFmtId="167" fontId="34" fillId="26" borderId="0" xfId="57" applyNumberFormat="1" applyFont="1" applyFill="1" applyBorder="1" applyAlignment="1">
      <alignment vertical="center"/>
    </xf>
    <xf numFmtId="167" fontId="34" fillId="0" borderId="28" xfId="57" applyNumberFormat="1" applyFont="1" applyBorder="1" applyAlignment="1">
      <alignment vertical="center"/>
    </xf>
    <xf numFmtId="167" fontId="37" fillId="26" borderId="0" xfId="57" applyNumberFormat="1" applyFont="1" applyFill="1" applyBorder="1" applyAlignment="1">
      <alignment vertical="center"/>
    </xf>
    <xf numFmtId="167" fontId="37" fillId="0" borderId="0" xfId="57" applyNumberFormat="1" applyFont="1" applyFill="1" applyBorder="1" applyAlignment="1">
      <alignment vertical="center"/>
    </xf>
    <xf numFmtId="164" fontId="37" fillId="0" borderId="0" xfId="55" applyNumberFormat="1" applyFont="1" applyBorder="1" applyAlignment="1">
      <alignment vertical="center"/>
    </xf>
    <xf numFmtId="164" fontId="37" fillId="0" borderId="0" xfId="37" applyNumberFormat="1" applyFont="1" applyFill="1" applyBorder="1" applyAlignment="1">
      <alignment vertical="center"/>
    </xf>
    <xf numFmtId="167" fontId="35" fillId="0" borderId="31" xfId="57" applyNumberFormat="1" applyFont="1" applyBorder="1" applyAlignment="1">
      <alignment vertical="center"/>
    </xf>
    <xf numFmtId="164" fontId="38" fillId="0" borderId="0" xfId="55" applyNumberFormat="1" applyFont="1" applyBorder="1" applyAlignment="1">
      <alignment vertical="center"/>
    </xf>
    <xf numFmtId="164" fontId="38" fillId="0" borderId="0" xfId="55" applyNumberFormat="1" applyFont="1" applyFill="1" applyBorder="1" applyAlignment="1">
      <alignment vertical="center"/>
    </xf>
    <xf numFmtId="167" fontId="35" fillId="0" borderId="28" xfId="57" applyNumberFormat="1" applyFont="1" applyBorder="1" applyAlignment="1">
      <alignment vertical="center"/>
    </xf>
    <xf numFmtId="164" fontId="33" fillId="0" borderId="0" xfId="37" applyNumberFormat="1" applyFont="1" applyBorder="1" applyAlignment="1">
      <alignment vertical="center"/>
    </xf>
    <xf numFmtId="164" fontId="32" fillId="0" borderId="0" xfId="37" applyNumberFormat="1" applyFont="1" applyBorder="1" applyAlignment="1">
      <alignment vertical="center"/>
    </xf>
    <xf numFmtId="167" fontId="52" fillId="24" borderId="0" xfId="57" applyNumberFormat="1" applyFont="1" applyFill="1" applyBorder="1" applyAlignment="1">
      <alignment vertical="center"/>
    </xf>
    <xf numFmtId="167" fontId="35" fillId="0" borderId="11" xfId="0" applyNumberFormat="1" applyFont="1" applyBorder="1"/>
    <xf numFmtId="167" fontId="33" fillId="0" borderId="31" xfId="57" applyNumberFormat="1" applyFont="1" applyBorder="1" applyAlignment="1">
      <alignment vertical="center"/>
    </xf>
    <xf numFmtId="0" fontId="38" fillId="0" borderId="0" xfId="0" applyFont="1" applyAlignment="1">
      <alignment vertical="center" wrapText="1"/>
    </xf>
    <xf numFmtId="0" fontId="35" fillId="28" borderId="0" xfId="0" applyFont="1" applyFill="1" applyBorder="1" applyAlignment="1">
      <alignment horizontal="center" vertical="center"/>
    </xf>
    <xf numFmtId="0" fontId="34" fillId="0" borderId="27" xfId="0" applyFont="1" applyBorder="1"/>
    <xf numFmtId="0" fontId="34" fillId="0" borderId="0" xfId="0" applyFont="1" applyFill="1" applyBorder="1"/>
    <xf numFmtId="164" fontId="35" fillId="0" borderId="0" xfId="37" applyNumberFormat="1" applyFont="1" applyBorder="1"/>
    <xf numFmtId="0" fontId="37" fillId="0" borderId="0" xfId="0" applyFont="1" applyFill="1" applyBorder="1"/>
    <xf numFmtId="0" fontId="37" fillId="0" borderId="28" xfId="0" applyFont="1" applyFill="1" applyBorder="1"/>
    <xf numFmtId="0" fontId="37" fillId="26" borderId="0" xfId="0" applyFont="1" applyFill="1" applyBorder="1"/>
    <xf numFmtId="164" fontId="34" fillId="0" borderId="0" xfId="37" applyNumberFormat="1" applyFont="1" applyBorder="1"/>
    <xf numFmtId="167" fontId="34" fillId="26" borderId="0" xfId="0" applyNumberFormat="1" applyFont="1" applyFill="1" applyBorder="1"/>
    <xf numFmtId="0" fontId="37" fillId="0" borderId="0" xfId="0" applyFont="1" applyBorder="1"/>
    <xf numFmtId="167" fontId="34" fillId="0" borderId="28" xfId="0" applyNumberFormat="1" applyFont="1" applyBorder="1"/>
    <xf numFmtId="167" fontId="35" fillId="0" borderId="31" xfId="0" applyNumberFormat="1" applyFont="1" applyBorder="1"/>
    <xf numFmtId="164" fontId="35" fillId="0" borderId="0" xfId="55" applyNumberFormat="1" applyFont="1" applyBorder="1" applyAlignment="1">
      <alignment vertical="center"/>
    </xf>
    <xf numFmtId="164" fontId="32" fillId="0" borderId="0" xfId="37" applyNumberFormat="1" applyFont="1" applyBorder="1"/>
    <xf numFmtId="167" fontId="38" fillId="0" borderId="11" xfId="55" applyNumberFormat="1" applyFont="1" applyFill="1" applyBorder="1"/>
    <xf numFmtId="167" fontId="33" fillId="0" borderId="31" xfId="55" applyNumberFormat="1" applyFont="1" applyBorder="1"/>
    <xf numFmtId="0" fontId="35" fillId="0" borderId="27" xfId="0" applyFont="1" applyBorder="1" applyAlignment="1">
      <alignment vertical="center"/>
    </xf>
    <xf numFmtId="0" fontId="35" fillId="0" borderId="28" xfId="0" applyFont="1" applyBorder="1" applyAlignment="1">
      <alignment vertical="center"/>
    </xf>
    <xf numFmtId="0" fontId="34" fillId="0" borderId="28" xfId="0" applyFont="1" applyBorder="1" applyAlignment="1">
      <alignment vertical="center"/>
    </xf>
    <xf numFmtId="0" fontId="35" fillId="28" borderId="0" xfId="0" quotePrefix="1" applyFont="1" applyFill="1" applyBorder="1" applyAlignment="1">
      <alignment horizontal="center" vertical="center"/>
    </xf>
    <xf numFmtId="167" fontId="39" fillId="0" borderId="27" xfId="57" applyNumberFormat="1" applyFont="1" applyBorder="1"/>
    <xf numFmtId="167" fontId="42" fillId="0" borderId="30" xfId="57" applyNumberFormat="1" applyFont="1" applyBorder="1"/>
    <xf numFmtId="0" fontId="34" fillId="0" borderId="32" xfId="0" applyFont="1" applyBorder="1" applyAlignment="1">
      <alignment vertical="center"/>
    </xf>
    <xf numFmtId="0" fontId="34" fillId="0" borderId="25" xfId="0" applyFont="1" applyBorder="1"/>
    <xf numFmtId="0" fontId="37" fillId="0" borderId="25" xfId="0" applyFont="1" applyFill="1" applyBorder="1"/>
    <xf numFmtId="0" fontId="37" fillId="0" borderId="26" xfId="0" applyFont="1" applyFill="1" applyBorder="1"/>
    <xf numFmtId="0" fontId="38" fillId="0" borderId="0" xfId="55" applyFont="1" applyFill="1" applyBorder="1" applyAlignment="1">
      <alignment vertical="center"/>
    </xf>
    <xf numFmtId="0" fontId="38" fillId="0" borderId="28" xfId="55" applyFont="1" applyFill="1" applyBorder="1" applyAlignment="1">
      <alignment vertical="center"/>
    </xf>
    <xf numFmtId="0" fontId="43" fillId="0" borderId="0" xfId="55" applyFont="1" applyBorder="1" applyAlignment="1">
      <alignment vertical="center"/>
    </xf>
    <xf numFmtId="164" fontId="38" fillId="0" borderId="28" xfId="55" applyNumberFormat="1" applyFont="1" applyFill="1" applyBorder="1" applyAlignment="1">
      <alignment vertical="center"/>
    </xf>
    <xf numFmtId="164" fontId="34" fillId="0" borderId="0" xfId="55" applyNumberFormat="1" applyFont="1" applyBorder="1" applyAlignment="1">
      <alignment vertical="center"/>
    </xf>
    <xf numFmtId="0" fontId="61" fillId="0" borderId="24" xfId="55" applyFont="1" applyBorder="1" applyAlignment="1">
      <alignment vertical="center"/>
    </xf>
    <xf numFmtId="167" fontId="39" fillId="0" borderId="0" xfId="57" applyNumberFormat="1" applyFont="1" applyBorder="1" applyAlignment="1">
      <alignment vertical="center"/>
    </xf>
    <xf numFmtId="167" fontId="42" fillId="0" borderId="0" xfId="0" applyNumberFormat="1" applyFont="1" applyBorder="1"/>
    <xf numFmtId="167" fontId="42" fillId="0" borderId="0" xfId="55" applyNumberFormat="1" applyFont="1" applyBorder="1"/>
    <xf numFmtId="167" fontId="33" fillId="0" borderId="0" xfId="55" applyNumberFormat="1" applyFont="1" applyBorder="1"/>
    <xf numFmtId="167" fontId="35" fillId="0" borderId="28" xfId="0" applyNumberFormat="1" applyFont="1" applyBorder="1"/>
    <xf numFmtId="167" fontId="33" fillId="0" borderId="0" xfId="57" applyNumberFormat="1" applyFont="1" applyBorder="1" applyAlignment="1">
      <alignment vertical="center"/>
    </xf>
    <xf numFmtId="0" fontId="71" fillId="0" borderId="0" xfId="0" applyFont="1" applyAlignment="1">
      <alignment vertical="center"/>
    </xf>
    <xf numFmtId="1" fontId="61" fillId="0" borderId="33" xfId="37" applyNumberFormat="1" applyFont="1" applyBorder="1" applyAlignment="1">
      <alignment horizontal="center" vertical="center"/>
    </xf>
    <xf numFmtId="1" fontId="35" fillId="0" borderId="27" xfId="0" applyNumberFormat="1" applyFont="1" applyBorder="1" applyAlignment="1">
      <alignment horizontal="center" vertical="center"/>
    </xf>
    <xf numFmtId="1" fontId="35" fillId="0" borderId="27" xfId="0" applyNumberFormat="1" applyFont="1" applyFill="1" applyBorder="1" applyAlignment="1">
      <alignment horizontal="center" vertical="center"/>
    </xf>
    <xf numFmtId="1" fontId="35" fillId="0" borderId="27" xfId="55" applyNumberFormat="1" applyFont="1" applyBorder="1" applyAlignment="1">
      <alignment horizontal="center" vertical="center"/>
    </xf>
    <xf numFmtId="1" fontId="33" fillId="0" borderId="27" xfId="55" applyNumberFormat="1" applyFont="1" applyBorder="1" applyAlignment="1">
      <alignment horizontal="center" vertical="center"/>
    </xf>
    <xf numFmtId="1" fontId="34" fillId="0" borderId="27" xfId="37" applyNumberFormat="1" applyFont="1" applyBorder="1" applyAlignment="1">
      <alignment horizontal="center" vertical="center"/>
    </xf>
    <xf numFmtId="1" fontId="33" fillId="0" borderId="27" xfId="37" applyNumberFormat="1" applyFont="1" applyBorder="1" applyAlignment="1">
      <alignment horizontal="center" vertical="center"/>
    </xf>
    <xf numFmtId="1" fontId="35" fillId="0" borderId="0" xfId="0" applyNumberFormat="1" applyFont="1" applyBorder="1" applyAlignment="1">
      <alignment horizontal="center" vertical="center"/>
    </xf>
    <xf numFmtId="1" fontId="35" fillId="0" borderId="0" xfId="0" applyNumberFormat="1" applyFont="1" applyBorder="1" applyAlignment="1">
      <alignment horizontal="center"/>
    </xf>
    <xf numFmtId="1" fontId="35" fillId="0" borderId="27" xfId="37" applyNumberFormat="1" applyFont="1" applyBorder="1" applyAlignment="1">
      <alignment horizontal="center" vertical="center"/>
    </xf>
    <xf numFmtId="1" fontId="45" fillId="0" borderId="0" xfId="37" applyNumberFormat="1" applyFont="1" applyAlignment="1">
      <alignment horizontal="center" vertical="center"/>
    </xf>
    <xf numFmtId="1" fontId="35" fillId="0" borderId="0" xfId="0" applyNumberFormat="1" applyFont="1" applyAlignment="1">
      <alignment horizontal="center"/>
    </xf>
    <xf numFmtId="1" fontId="61" fillId="0" borderId="0" xfId="37" applyNumberFormat="1" applyFont="1" applyAlignment="1">
      <alignment horizontal="center"/>
    </xf>
    <xf numFmtId="1" fontId="33" fillId="0" borderId="0" xfId="37" applyNumberFormat="1" applyFont="1" applyAlignment="1">
      <alignment horizontal="center"/>
    </xf>
    <xf numFmtId="1" fontId="35" fillId="0" borderId="0" xfId="0" applyNumberFormat="1" applyFont="1" applyAlignment="1">
      <alignment horizontal="center" vertical="center"/>
    </xf>
    <xf numFmtId="0" fontId="34" fillId="0" borderId="25" xfId="0" applyFont="1" applyBorder="1" applyAlignment="1">
      <alignment horizontal="right" vertical="center"/>
    </xf>
    <xf numFmtId="0" fontId="40" fillId="0" borderId="25" xfId="0" applyFont="1" applyBorder="1" applyAlignment="1">
      <alignment horizontal="right" vertical="center"/>
    </xf>
    <xf numFmtId="0" fontId="40" fillId="0" borderId="25" xfId="0" applyFont="1" applyFill="1" applyBorder="1" applyAlignment="1">
      <alignment horizontal="right" vertical="center"/>
    </xf>
    <xf numFmtId="0" fontId="40" fillId="0" borderId="25" xfId="0" applyFont="1" applyBorder="1" applyAlignment="1">
      <alignment horizontal="right"/>
    </xf>
    <xf numFmtId="0" fontId="58" fillId="0" borderId="25" xfId="37" applyFont="1" applyFill="1" applyBorder="1" applyAlignment="1">
      <alignment horizontal="right" vertical="center"/>
    </xf>
    <xf numFmtId="0" fontId="58" fillId="0" borderId="26" xfId="37" applyFont="1" applyFill="1" applyBorder="1" applyAlignment="1">
      <alignment horizontal="right" vertical="center"/>
    </xf>
    <xf numFmtId="0" fontId="34" fillId="0" borderId="0" xfId="0" applyFont="1" applyBorder="1" applyAlignment="1">
      <alignment horizontal="right"/>
    </xf>
    <xf numFmtId="0" fontId="34" fillId="0" borderId="0" xfId="0" applyFont="1" applyFill="1" applyBorder="1" applyAlignment="1">
      <alignment horizontal="right"/>
    </xf>
    <xf numFmtId="0" fontId="38" fillId="0" borderId="0" xfId="37" applyFont="1" applyFill="1" applyBorder="1" applyAlignment="1">
      <alignment horizontal="right" vertical="center"/>
    </xf>
    <xf numFmtId="0" fontId="38" fillId="0" borderId="28" xfId="37" applyFont="1" applyFill="1" applyBorder="1" applyAlignment="1">
      <alignment horizontal="right" vertical="center"/>
    </xf>
    <xf numFmtId="0" fontId="43" fillId="0" borderId="0" xfId="37" applyFont="1" applyBorder="1" applyAlignment="1">
      <alignment horizontal="right" vertical="center"/>
    </xf>
    <xf numFmtId="0" fontId="35" fillId="0" borderId="0" xfId="0" applyFont="1" applyBorder="1" applyAlignment="1">
      <alignment horizontal="right" vertical="center"/>
    </xf>
    <xf numFmtId="0" fontId="35" fillId="0" borderId="0" xfId="0" applyFont="1" applyFill="1" applyBorder="1" applyAlignment="1">
      <alignment horizontal="right" vertical="center"/>
    </xf>
    <xf numFmtId="0" fontId="35" fillId="0" borderId="28" xfId="0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horizontal="right" vertical="center"/>
    </xf>
    <xf numFmtId="0" fontId="0" fillId="28" borderId="0" xfId="0" quotePrefix="1" applyFill="1" applyBorder="1" applyAlignment="1">
      <alignment horizontal="right"/>
    </xf>
    <xf numFmtId="0" fontId="35" fillId="28" borderId="28" xfId="0" quotePrefix="1" applyFont="1" applyFill="1" applyBorder="1" applyAlignment="1">
      <alignment horizontal="right" vertical="center"/>
    </xf>
    <xf numFmtId="0" fontId="38" fillId="0" borderId="28" xfId="0" applyFont="1" applyFill="1" applyBorder="1" applyAlignment="1">
      <alignment horizontal="right" vertical="center" wrapText="1"/>
    </xf>
    <xf numFmtId="164" fontId="35" fillId="0" borderId="0" xfId="37" applyNumberFormat="1" applyFont="1" applyBorder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37" fillId="0" borderId="28" xfId="0" applyFont="1" applyFill="1" applyBorder="1" applyAlignment="1">
      <alignment horizontal="right"/>
    </xf>
    <xf numFmtId="167" fontId="39" fillId="0" borderId="0" xfId="57" applyNumberFormat="1" applyFont="1" applyBorder="1" applyAlignment="1">
      <alignment horizontal="right" vertical="center"/>
    </xf>
    <xf numFmtId="0" fontId="37" fillId="26" borderId="0" xfId="0" applyFont="1" applyFill="1" applyBorder="1" applyAlignment="1">
      <alignment horizontal="right"/>
    </xf>
    <xf numFmtId="164" fontId="34" fillId="0" borderId="0" xfId="37" applyNumberFormat="1" applyFont="1" applyBorder="1" applyAlignment="1">
      <alignment horizontal="right"/>
    </xf>
    <xf numFmtId="167" fontId="34" fillId="0" borderId="0" xfId="57" applyNumberFormat="1" applyFont="1" applyBorder="1" applyAlignment="1">
      <alignment horizontal="right" vertical="center"/>
    </xf>
    <xf numFmtId="167" fontId="34" fillId="26" borderId="0" xfId="57" applyNumberFormat="1" applyFont="1" applyFill="1" applyBorder="1" applyAlignment="1">
      <alignment horizontal="right" vertical="center"/>
    </xf>
    <xf numFmtId="167" fontId="34" fillId="0" borderId="28" xfId="57" applyNumberFormat="1" applyFont="1" applyBorder="1" applyAlignment="1">
      <alignment horizontal="right" vertical="center"/>
    </xf>
    <xf numFmtId="167" fontId="37" fillId="26" borderId="0" xfId="57" applyNumberFormat="1" applyFont="1" applyFill="1" applyBorder="1" applyAlignment="1">
      <alignment horizontal="right" vertical="center"/>
    </xf>
    <xf numFmtId="164" fontId="37" fillId="0" borderId="0" xfId="55" applyNumberFormat="1" applyFont="1" applyFill="1" applyBorder="1" applyAlignment="1">
      <alignment horizontal="right" vertical="center"/>
    </xf>
    <xf numFmtId="167" fontId="34" fillId="26" borderId="0" xfId="0" applyNumberFormat="1" applyFont="1" applyFill="1" applyBorder="1" applyAlignment="1">
      <alignment horizontal="right"/>
    </xf>
    <xf numFmtId="0" fontId="37" fillId="0" borderId="0" xfId="0" applyFont="1" applyBorder="1" applyAlignment="1">
      <alignment horizontal="right"/>
    </xf>
    <xf numFmtId="167" fontId="34" fillId="0" borderId="0" xfId="0" applyNumberFormat="1" applyFont="1" applyBorder="1" applyAlignment="1">
      <alignment horizontal="right"/>
    </xf>
    <xf numFmtId="167" fontId="34" fillId="0" borderId="28" xfId="0" applyNumberFormat="1" applyFont="1" applyBorder="1" applyAlignment="1">
      <alignment horizontal="right"/>
    </xf>
    <xf numFmtId="167" fontId="35" fillId="0" borderId="0" xfId="0" applyNumberFormat="1" applyFont="1" applyBorder="1" applyAlignment="1">
      <alignment horizontal="right"/>
    </xf>
    <xf numFmtId="167" fontId="39" fillId="0" borderId="0" xfId="0" applyNumberFormat="1" applyFont="1" applyBorder="1" applyAlignment="1">
      <alignment horizontal="right"/>
    </xf>
    <xf numFmtId="164" fontId="35" fillId="0" borderId="0" xfId="55" applyNumberFormat="1" applyFont="1" applyBorder="1" applyAlignment="1">
      <alignment horizontal="right" vertical="center"/>
    </xf>
    <xf numFmtId="164" fontId="32" fillId="0" borderId="0" xfId="37" applyNumberFormat="1" applyFont="1" applyBorder="1" applyAlignment="1">
      <alignment horizontal="right"/>
    </xf>
    <xf numFmtId="164" fontId="37" fillId="26" borderId="0" xfId="55" applyNumberFormat="1" applyFont="1" applyFill="1" applyBorder="1" applyAlignment="1">
      <alignment horizontal="right" vertical="center"/>
    </xf>
    <xf numFmtId="164" fontId="37" fillId="0" borderId="0" xfId="37" applyNumberFormat="1" applyFont="1" applyFill="1" applyBorder="1" applyAlignment="1">
      <alignment horizontal="right" vertical="center"/>
    </xf>
    <xf numFmtId="167" fontId="52" fillId="24" borderId="0" xfId="57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" fontId="61" fillId="0" borderId="24" xfId="37" applyNumberFormat="1" applyFont="1" applyBorder="1" applyAlignment="1">
      <alignment horizontal="left" vertical="center"/>
    </xf>
    <xf numFmtId="0" fontId="35" fillId="0" borderId="27" xfId="55" applyFont="1" applyFill="1" applyBorder="1" applyAlignment="1">
      <alignment horizontal="center" vertical="center" wrapText="1"/>
    </xf>
    <xf numFmtId="0" fontId="35" fillId="0" borderId="27" xfId="37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 wrapText="1"/>
    </xf>
    <xf numFmtId="0" fontId="35" fillId="0" borderId="27" xfId="0" applyFont="1" applyFill="1" applyBorder="1" applyAlignment="1">
      <alignment horizontal="center" vertical="center" wrapText="1"/>
    </xf>
    <xf numFmtId="164" fontId="35" fillId="0" borderId="27" xfId="37" applyNumberFormat="1" applyFont="1" applyBorder="1" applyAlignment="1">
      <alignment horizontal="center" vertical="center"/>
    </xf>
    <xf numFmtId="164" fontId="34" fillId="0" borderId="27" xfId="37" applyNumberFormat="1" applyFont="1" applyBorder="1" applyAlignment="1">
      <alignment horizontal="center" vertical="center"/>
    </xf>
    <xf numFmtId="167" fontId="35" fillId="0" borderId="27" xfId="57" applyNumberFormat="1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59" fillId="0" borderId="24" xfId="37" applyFont="1" applyBorder="1" applyAlignment="1">
      <alignment horizontal="left" vertical="center"/>
    </xf>
    <xf numFmtId="0" fontId="35" fillId="0" borderId="27" xfId="0" applyFont="1" applyBorder="1" applyAlignment="1">
      <alignment horizontal="center" vertical="center"/>
    </xf>
    <xf numFmtId="0" fontId="35" fillId="0" borderId="27" xfId="0" applyFont="1" applyFill="1" applyBorder="1" applyAlignment="1">
      <alignment horizontal="center" vertical="center"/>
    </xf>
    <xf numFmtId="1" fontId="35" fillId="29" borderId="27" xfId="55" applyNumberFormat="1" applyFont="1" applyFill="1" applyBorder="1" applyAlignment="1">
      <alignment horizontal="center" vertical="center"/>
    </xf>
    <xf numFmtId="167" fontId="39" fillId="29" borderId="0" xfId="57" applyNumberFormat="1" applyFont="1" applyFill="1" applyBorder="1" applyAlignment="1">
      <alignment vertical="center"/>
    </xf>
    <xf numFmtId="167" fontId="37" fillId="29" borderId="0" xfId="57" applyNumberFormat="1" applyFont="1" applyFill="1" applyBorder="1" applyAlignment="1">
      <alignment vertical="center"/>
    </xf>
    <xf numFmtId="164" fontId="34" fillId="29" borderId="0" xfId="37" applyNumberFormat="1" applyFont="1" applyFill="1" applyBorder="1" applyAlignment="1">
      <alignment vertical="center"/>
    </xf>
    <xf numFmtId="164" fontId="37" fillId="29" borderId="0" xfId="55" applyNumberFormat="1" applyFont="1" applyFill="1" applyBorder="1" applyAlignment="1">
      <alignment vertical="center"/>
    </xf>
    <xf numFmtId="167" fontId="34" fillId="29" borderId="0" xfId="57" applyNumberFormat="1" applyFont="1" applyFill="1" applyBorder="1" applyAlignment="1">
      <alignment vertical="center"/>
    </xf>
    <xf numFmtId="167" fontId="34" fillId="29" borderId="28" xfId="57" applyNumberFormat="1" applyFont="1" applyFill="1" applyBorder="1" applyAlignment="1">
      <alignment vertical="center"/>
    </xf>
    <xf numFmtId="167" fontId="39" fillId="29" borderId="0" xfId="57" applyNumberFormat="1" applyFont="1" applyFill="1" applyBorder="1" applyAlignment="1">
      <alignment horizontal="right" vertical="center"/>
    </xf>
    <xf numFmtId="167" fontId="37" fillId="29" borderId="0" xfId="57" applyNumberFormat="1" applyFont="1" applyFill="1" applyBorder="1" applyAlignment="1">
      <alignment horizontal="right" vertical="center"/>
    </xf>
    <xf numFmtId="164" fontId="34" fillId="29" borderId="0" xfId="37" applyNumberFormat="1" applyFont="1" applyFill="1" applyBorder="1" applyAlignment="1">
      <alignment horizontal="right"/>
    </xf>
    <xf numFmtId="164" fontId="37" fillId="29" borderId="0" xfId="55" applyNumberFormat="1" applyFont="1" applyFill="1" applyBorder="1" applyAlignment="1">
      <alignment horizontal="right" vertical="center"/>
    </xf>
    <xf numFmtId="167" fontId="34" fillId="29" borderId="0" xfId="57" applyNumberFormat="1" applyFont="1" applyFill="1" applyBorder="1" applyAlignment="1">
      <alignment horizontal="right" vertical="center"/>
    </xf>
    <xf numFmtId="167" fontId="34" fillId="29" borderId="28" xfId="57" applyNumberFormat="1" applyFont="1" applyFill="1" applyBorder="1" applyAlignment="1">
      <alignment horizontal="right" vertical="center"/>
    </xf>
    <xf numFmtId="0" fontId="35" fillId="29" borderId="27" xfId="0" applyFont="1" applyFill="1" applyBorder="1" applyAlignment="1">
      <alignment horizontal="center" vertical="center"/>
    </xf>
    <xf numFmtId="164" fontId="34" fillId="29" borderId="0" xfId="37" applyNumberFormat="1" applyFont="1" applyFill="1" applyBorder="1"/>
    <xf numFmtId="164" fontId="37" fillId="24" borderId="0" xfId="55" applyNumberFormat="1" applyFont="1" applyFill="1" applyAlignment="1">
      <alignment vertical="center"/>
    </xf>
    <xf numFmtId="0" fontId="34" fillId="24" borderId="0" xfId="0" applyFont="1" applyFill="1" applyAlignment="1">
      <alignment vertical="center"/>
    </xf>
    <xf numFmtId="0" fontId="62" fillId="0" borderId="25" xfId="0" applyFont="1" applyBorder="1"/>
    <xf numFmtId="0" fontId="37" fillId="0" borderId="25" xfId="55" applyFont="1" applyFill="1" applyBorder="1" applyAlignment="1">
      <alignment vertical="center"/>
    </xf>
    <xf numFmtId="0" fontId="37" fillId="0" borderId="26" xfId="55" applyFont="1" applyFill="1" applyBorder="1" applyAlignment="1">
      <alignment vertical="center"/>
    </xf>
    <xf numFmtId="164" fontId="35" fillId="0" borderId="0" xfId="55" applyNumberFormat="1" applyFont="1" applyFill="1" applyBorder="1" applyAlignment="1">
      <alignment vertical="center"/>
    </xf>
    <xf numFmtId="0" fontId="39" fillId="0" borderId="0" xfId="0" applyFont="1" applyBorder="1"/>
    <xf numFmtId="0" fontId="34" fillId="0" borderId="28" xfId="0" applyFont="1" applyBorder="1"/>
    <xf numFmtId="164" fontId="34" fillId="0" borderId="28" xfId="0" applyNumberFormat="1" applyFont="1" applyBorder="1"/>
    <xf numFmtId="0" fontId="35" fillId="0" borderId="27" xfId="0" applyFont="1" applyBorder="1"/>
    <xf numFmtId="1" fontId="59" fillId="0" borderId="37" xfId="37" applyNumberFormat="1" applyFont="1" applyBorder="1" applyAlignment="1">
      <alignment horizontal="center" vertical="center"/>
    </xf>
    <xf numFmtId="0" fontId="35" fillId="24" borderId="27" xfId="0" applyFont="1" applyFill="1" applyBorder="1" applyAlignment="1">
      <alignment horizontal="center" vertical="center"/>
    </xf>
    <xf numFmtId="0" fontId="38" fillId="0" borderId="0" xfId="0" applyFont="1" applyBorder="1"/>
    <xf numFmtId="0" fontId="38" fillId="0" borderId="0" xfId="0" applyFont="1" applyFill="1" applyBorder="1"/>
    <xf numFmtId="0" fontId="30" fillId="0" borderId="0" xfId="0" applyFont="1" applyBorder="1" applyAlignment="1">
      <alignment horizontal="center"/>
    </xf>
    <xf numFmtId="167" fontId="42" fillId="0" borderId="0" xfId="55" applyNumberFormat="1" applyFont="1" applyBorder="1" applyAlignment="1">
      <alignment horizontal="right"/>
    </xf>
    <xf numFmtId="167" fontId="38" fillId="0" borderId="0" xfId="55" applyNumberFormat="1" applyFont="1" applyBorder="1" applyAlignment="1">
      <alignment horizontal="right"/>
    </xf>
    <xf numFmtId="167" fontId="38" fillId="0" borderId="0" xfId="55" applyNumberFormat="1" applyFont="1" applyFill="1" applyBorder="1" applyAlignment="1">
      <alignment horizontal="right"/>
    </xf>
    <xf numFmtId="167" fontId="33" fillId="0" borderId="0" xfId="55" applyNumberFormat="1" applyFont="1" applyBorder="1" applyAlignment="1">
      <alignment horizontal="right"/>
    </xf>
    <xf numFmtId="164" fontId="42" fillId="0" borderId="0" xfId="55" applyNumberFormat="1" applyFont="1" applyBorder="1"/>
    <xf numFmtId="164" fontId="33" fillId="0" borderId="0" xfId="55" applyNumberFormat="1" applyFont="1" applyBorder="1"/>
    <xf numFmtId="1" fontId="61" fillId="0" borderId="37" xfId="37" applyNumberFormat="1" applyFont="1" applyBorder="1" applyAlignment="1">
      <alignment horizontal="center" vertical="center"/>
    </xf>
    <xf numFmtId="0" fontId="0" fillId="25" borderId="27" xfId="0" applyFill="1" applyBorder="1"/>
    <xf numFmtId="0" fontId="0" fillId="25" borderId="0" xfId="0" applyFill="1" applyBorder="1"/>
    <xf numFmtId="1" fontId="35" fillId="24" borderId="27" xfId="55" applyNumberFormat="1" applyFont="1" applyFill="1" applyBorder="1" applyAlignment="1">
      <alignment horizontal="center" vertical="center"/>
    </xf>
    <xf numFmtId="167" fontId="39" fillId="24" borderId="0" xfId="57" applyNumberFormat="1" applyFont="1" applyFill="1" applyBorder="1" applyAlignment="1">
      <alignment horizontal="right" vertical="center"/>
    </xf>
    <xf numFmtId="164" fontId="34" fillId="24" borderId="0" xfId="37" applyNumberFormat="1" applyFont="1" applyFill="1" applyBorder="1" applyAlignment="1">
      <alignment horizontal="right"/>
    </xf>
    <xf numFmtId="164" fontId="37" fillId="24" borderId="0" xfId="55" applyNumberFormat="1" applyFont="1" applyFill="1" applyBorder="1" applyAlignment="1">
      <alignment horizontal="right" vertical="center"/>
    </xf>
    <xf numFmtId="167" fontId="34" fillId="24" borderId="0" xfId="57" applyNumberFormat="1" applyFont="1" applyFill="1" applyBorder="1" applyAlignment="1">
      <alignment horizontal="right" vertical="center"/>
    </xf>
    <xf numFmtId="167" fontId="39" fillId="24" borderId="0" xfId="57" applyNumberFormat="1" applyFont="1" applyFill="1" applyBorder="1" applyAlignment="1">
      <alignment vertical="center"/>
    </xf>
    <xf numFmtId="164" fontId="34" fillId="24" borderId="0" xfId="37" applyNumberFormat="1" applyFont="1" applyFill="1" applyBorder="1"/>
    <xf numFmtId="164" fontId="37" fillId="24" borderId="0" xfId="55" applyNumberFormat="1" applyFont="1" applyFill="1" applyBorder="1" applyAlignment="1">
      <alignment vertical="center"/>
    </xf>
    <xf numFmtId="167" fontId="34" fillId="24" borderId="0" xfId="57" applyNumberFormat="1" applyFont="1" applyFill="1" applyBorder="1" applyAlignment="1">
      <alignment vertical="center"/>
    </xf>
    <xf numFmtId="167" fontId="34" fillId="25" borderId="28" xfId="57" applyNumberFormat="1" applyFont="1" applyFill="1" applyBorder="1" applyAlignment="1">
      <alignment vertical="center"/>
    </xf>
    <xf numFmtId="0" fontId="61" fillId="0" borderId="33" xfId="55" applyFont="1" applyBorder="1" applyAlignment="1">
      <alignment vertical="center"/>
    </xf>
    <xf numFmtId="1" fontId="35" fillId="0" borderId="30" xfId="55" applyNumberFormat="1" applyFont="1" applyBorder="1" applyAlignment="1">
      <alignment horizontal="center" vertical="center"/>
    </xf>
    <xf numFmtId="1" fontId="35" fillId="0" borderId="30" xfId="57" applyNumberFormat="1" applyFont="1" applyBorder="1" applyAlignment="1">
      <alignment horizontal="center" vertical="center"/>
    </xf>
    <xf numFmtId="167" fontId="42" fillId="0" borderId="10" xfId="0" applyNumberFormat="1" applyFont="1" applyBorder="1" applyAlignment="1">
      <alignment horizontal="right"/>
    </xf>
    <xf numFmtId="167" fontId="38" fillId="0" borderId="10" xfId="0" applyNumberFormat="1" applyFont="1" applyBorder="1" applyAlignment="1">
      <alignment horizontal="right"/>
    </xf>
    <xf numFmtId="167" fontId="38" fillId="0" borderId="10" xfId="0" applyNumberFormat="1" applyFont="1" applyFill="1" applyBorder="1" applyAlignment="1">
      <alignment horizontal="right"/>
    </xf>
    <xf numFmtId="167" fontId="35" fillId="0" borderId="10" xfId="0" applyNumberFormat="1" applyFont="1" applyBorder="1" applyAlignment="1">
      <alignment horizontal="right"/>
    </xf>
    <xf numFmtId="167" fontId="35" fillId="0" borderId="31" xfId="0" applyNumberFormat="1" applyFont="1" applyBorder="1" applyAlignment="1">
      <alignment horizontal="right"/>
    </xf>
    <xf numFmtId="1" fontId="35" fillId="0" borderId="30" xfId="0" applyNumberFormat="1" applyFont="1" applyBorder="1" applyAlignment="1">
      <alignment horizontal="center"/>
    </xf>
    <xf numFmtId="167" fontId="35" fillId="0" borderId="30" xfId="57" applyNumberFormat="1" applyFont="1" applyBorder="1" applyAlignment="1">
      <alignment horizontal="center" vertical="center"/>
    </xf>
    <xf numFmtId="0" fontId="30" fillId="0" borderId="30" xfId="0" applyFont="1" applyBorder="1" applyAlignment="1">
      <alignment horizontal="center"/>
    </xf>
    <xf numFmtId="167" fontId="42" fillId="0" borderId="10" xfId="55" applyNumberFormat="1" applyFont="1" applyBorder="1" applyAlignment="1">
      <alignment horizontal="right"/>
    </xf>
    <xf numFmtId="167" fontId="38" fillId="0" borderId="10" xfId="55" applyNumberFormat="1" applyFont="1" applyBorder="1" applyAlignment="1">
      <alignment horizontal="right"/>
    </xf>
    <xf numFmtId="167" fontId="38" fillId="0" borderId="10" xfId="55" applyNumberFormat="1" applyFont="1" applyFill="1" applyBorder="1" applyAlignment="1">
      <alignment horizontal="right"/>
    </xf>
    <xf numFmtId="167" fontId="33" fillId="0" borderId="10" xfId="55" applyNumberFormat="1" applyFont="1" applyBorder="1" applyAlignment="1">
      <alignment horizontal="right"/>
    </xf>
    <xf numFmtId="167" fontId="33" fillId="0" borderId="31" xfId="55" applyNumberFormat="1" applyFont="1" applyBorder="1" applyAlignment="1">
      <alignment horizontal="right"/>
    </xf>
    <xf numFmtId="164" fontId="34" fillId="0" borderId="30" xfId="37" applyNumberFormat="1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4" fillId="0" borderId="30" xfId="0" applyFont="1" applyBorder="1"/>
    <xf numFmtId="0" fontId="34" fillId="0" borderId="30" xfId="0" applyFont="1" applyBorder="1" applyAlignment="1">
      <alignment vertical="center"/>
    </xf>
    <xf numFmtId="0" fontId="35" fillId="0" borderId="30" xfId="0" applyFont="1" applyBorder="1" applyAlignment="1">
      <alignment vertical="center"/>
    </xf>
    <xf numFmtId="164" fontId="35" fillId="0" borderId="0" xfId="55" applyNumberFormat="1" applyFont="1"/>
    <xf numFmtId="1" fontId="35" fillId="0" borderId="27" xfId="0" applyNumberFormat="1" applyFont="1" applyBorder="1" applyAlignment="1">
      <alignment horizontal="center"/>
    </xf>
    <xf numFmtId="167" fontId="42" fillId="0" borderId="0" xfId="0" applyNumberFormat="1" applyFont="1" applyBorder="1" applyAlignment="1">
      <alignment horizontal="right"/>
    </xf>
    <xf numFmtId="167" fontId="38" fillId="0" borderId="0" xfId="0" applyNumberFormat="1" applyFont="1" applyBorder="1" applyAlignment="1">
      <alignment horizontal="right"/>
    </xf>
    <xf numFmtId="167" fontId="38" fillId="0" borderId="0" xfId="0" applyNumberFormat="1" applyFont="1" applyFill="1" applyBorder="1" applyAlignment="1">
      <alignment horizontal="right"/>
    </xf>
    <xf numFmtId="167" fontId="35" fillId="0" borderId="28" xfId="0" applyNumberFormat="1" applyFont="1" applyBorder="1" applyAlignment="1">
      <alignment horizontal="right"/>
    </xf>
    <xf numFmtId="167" fontId="38" fillId="0" borderId="0" xfId="0" applyNumberFormat="1" applyFont="1" applyBorder="1"/>
    <xf numFmtId="1" fontId="35" fillId="25" borderId="27" xfId="0" applyNumberFormat="1" applyFont="1" applyFill="1" applyBorder="1" applyAlignment="1">
      <alignment horizontal="center"/>
    </xf>
    <xf numFmtId="167" fontId="42" fillId="25" borderId="0" xfId="57" applyNumberFormat="1" applyFont="1" applyFill="1" applyBorder="1" applyAlignment="1">
      <alignment vertical="center"/>
    </xf>
    <xf numFmtId="167" fontId="38" fillId="25" borderId="0" xfId="57" applyNumberFormat="1" applyFont="1" applyFill="1" applyBorder="1" applyAlignment="1">
      <alignment vertical="center"/>
    </xf>
    <xf numFmtId="167" fontId="35" fillId="25" borderId="0" xfId="0" applyNumberFormat="1" applyFont="1" applyFill="1" applyBorder="1"/>
    <xf numFmtId="167" fontId="35" fillId="25" borderId="0" xfId="57" applyNumberFormat="1" applyFont="1" applyFill="1" applyBorder="1" applyAlignment="1">
      <alignment vertical="center"/>
    </xf>
    <xf numFmtId="167" fontId="35" fillId="25" borderId="28" xfId="57" applyNumberFormat="1" applyFont="1" applyFill="1" applyBorder="1" applyAlignment="1">
      <alignment vertical="center"/>
    </xf>
    <xf numFmtId="167" fontId="35" fillId="25" borderId="27" xfId="57" applyNumberFormat="1" applyFont="1" applyFill="1" applyBorder="1" applyAlignment="1">
      <alignment horizontal="center" vertical="center"/>
    </xf>
    <xf numFmtId="167" fontId="42" fillId="25" borderId="0" xfId="0" applyNumberFormat="1" applyFont="1" applyFill="1" applyBorder="1" applyAlignment="1">
      <alignment horizontal="right"/>
    </xf>
    <xf numFmtId="167" fontId="38" fillId="25" borderId="0" xfId="0" applyNumberFormat="1" applyFont="1" applyFill="1" applyBorder="1" applyAlignment="1">
      <alignment horizontal="right"/>
    </xf>
    <xf numFmtId="167" fontId="35" fillId="25" borderId="0" xfId="0" applyNumberFormat="1" applyFont="1" applyFill="1" applyBorder="1" applyAlignment="1">
      <alignment horizontal="right"/>
    </xf>
    <xf numFmtId="167" fontId="35" fillId="25" borderId="28" xfId="0" applyNumberFormat="1" applyFont="1" applyFill="1" applyBorder="1" applyAlignment="1">
      <alignment horizontal="right"/>
    </xf>
    <xf numFmtId="167" fontId="38" fillId="26" borderId="0" xfId="0" applyNumberFormat="1" applyFont="1" applyFill="1" applyBorder="1"/>
    <xf numFmtId="0" fontId="34" fillId="25" borderId="27" xfId="0" applyFont="1" applyFill="1" applyBorder="1"/>
    <xf numFmtId="164" fontId="42" fillId="25" borderId="0" xfId="0" applyNumberFormat="1" applyFont="1" applyFill="1" applyBorder="1"/>
    <xf numFmtId="164" fontId="38" fillId="25" borderId="0" xfId="0" applyNumberFormat="1" applyFont="1" applyFill="1" applyBorder="1"/>
    <xf numFmtId="164" fontId="35" fillId="25" borderId="0" xfId="0" applyNumberFormat="1" applyFont="1" applyFill="1" applyBorder="1"/>
    <xf numFmtId="164" fontId="35" fillId="25" borderId="28" xfId="0" applyNumberFormat="1" applyFont="1" applyFill="1" applyBorder="1"/>
    <xf numFmtId="0" fontId="34" fillId="25" borderId="27" xfId="0" applyFont="1" applyFill="1" applyBorder="1" applyAlignment="1">
      <alignment vertical="center"/>
    </xf>
    <xf numFmtId="167" fontId="42" fillId="25" borderId="0" xfId="0" applyNumberFormat="1" applyFont="1" applyFill="1" applyBorder="1"/>
    <xf numFmtId="167" fontId="38" fillId="25" borderId="0" xfId="0" applyNumberFormat="1" applyFont="1" applyFill="1" applyBorder="1"/>
    <xf numFmtId="167" fontId="35" fillId="25" borderId="28" xfId="0" applyNumberFormat="1" applyFont="1" applyFill="1" applyBorder="1"/>
    <xf numFmtId="164" fontId="39" fillId="25" borderId="0" xfId="0" applyNumberFormat="1" applyFont="1" applyFill="1" applyBorder="1"/>
    <xf numFmtId="0" fontId="37" fillId="25" borderId="0" xfId="0" applyFont="1" applyFill="1" applyBorder="1"/>
    <xf numFmtId="164" fontId="32" fillId="25" borderId="0" xfId="37" applyNumberFormat="1" applyFont="1" applyFill="1" applyBorder="1"/>
    <xf numFmtId="164" fontId="34" fillId="25" borderId="0" xfId="0" applyNumberFormat="1" applyFont="1" applyFill="1" applyBorder="1"/>
    <xf numFmtId="164" fontId="34" fillId="25" borderId="28" xfId="0" applyNumberFormat="1" applyFont="1" applyFill="1" applyBorder="1"/>
    <xf numFmtId="0" fontId="35" fillId="25" borderId="27" xfId="0" applyFont="1" applyFill="1" applyBorder="1"/>
    <xf numFmtId="167" fontId="39" fillId="25" borderId="0" xfId="57" applyNumberFormat="1" applyFont="1" applyFill="1" applyBorder="1" applyAlignment="1">
      <alignment vertical="center"/>
    </xf>
    <xf numFmtId="164" fontId="37" fillId="25" borderId="0" xfId="55" applyNumberFormat="1" applyFont="1" applyFill="1" applyBorder="1" applyAlignment="1">
      <alignment vertical="center"/>
    </xf>
    <xf numFmtId="164" fontId="34" fillId="25" borderId="0" xfId="37" applyNumberFormat="1" applyFont="1" applyFill="1" applyBorder="1"/>
    <xf numFmtId="164" fontId="37" fillId="25" borderId="0" xfId="37" applyNumberFormat="1" applyFont="1" applyFill="1" applyBorder="1" applyAlignment="1">
      <alignment vertical="center"/>
    </xf>
    <xf numFmtId="167" fontId="34" fillId="25" borderId="0" xfId="57" applyNumberFormat="1" applyFont="1" applyFill="1" applyBorder="1" applyAlignment="1">
      <alignment vertical="center"/>
    </xf>
    <xf numFmtId="0" fontId="34" fillId="25" borderId="0" xfId="0" applyFont="1" applyFill="1" applyBorder="1"/>
    <xf numFmtId="0" fontId="34" fillId="25" borderId="28" xfId="0" applyFont="1" applyFill="1" applyBorder="1"/>
    <xf numFmtId="0" fontId="0" fillId="0" borderId="0" xfId="0" applyAlignment="1">
      <alignment vertical="center" wrapText="1"/>
    </xf>
    <xf numFmtId="0" fontId="59" fillId="0" borderId="15" xfId="0" applyFont="1" applyFill="1" applyBorder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0" fontId="67" fillId="0" borderId="20" xfId="0" applyFont="1" applyBorder="1" applyAlignment="1">
      <alignment vertical="center"/>
    </xf>
    <xf numFmtId="0" fontId="0" fillId="0" borderId="0" xfId="0" applyAlignment="1">
      <alignment vertical="center"/>
    </xf>
    <xf numFmtId="0" fontId="34" fillId="0" borderId="15" xfId="0" applyFont="1" applyBorder="1" applyAlignment="1">
      <alignment horizontal="center" vertical="center"/>
    </xf>
    <xf numFmtId="0" fontId="35" fillId="28" borderId="0" xfId="0" applyFont="1" applyFill="1" applyBorder="1" applyAlignment="1">
      <alignment horizontal="center" vertical="center"/>
    </xf>
    <xf numFmtId="0" fontId="59" fillId="24" borderId="24" xfId="37" applyFont="1" applyFill="1" applyBorder="1" applyAlignment="1">
      <alignment horizontal="left" vertical="center"/>
    </xf>
    <xf numFmtId="0" fontId="34" fillId="24" borderId="25" xfId="0" applyFont="1" applyFill="1" applyBorder="1" applyAlignment="1">
      <alignment vertical="center"/>
    </xf>
    <xf numFmtId="0" fontId="34" fillId="24" borderId="25" xfId="0" applyFont="1" applyFill="1" applyBorder="1"/>
    <xf numFmtId="0" fontId="37" fillId="24" borderId="25" xfId="0" applyFont="1" applyFill="1" applyBorder="1"/>
    <xf numFmtId="0" fontId="37" fillId="24" borderId="26" xfId="0" applyFont="1" applyFill="1" applyBorder="1"/>
    <xf numFmtId="0" fontId="34" fillId="24" borderId="27" xfId="0" applyFont="1" applyFill="1" applyBorder="1" applyAlignment="1">
      <alignment vertical="center"/>
    </xf>
    <xf numFmtId="0" fontId="34" fillId="24" borderId="0" xfId="0" applyFont="1" applyFill="1" applyBorder="1"/>
    <xf numFmtId="0" fontId="38" fillId="24" borderId="0" xfId="55" applyFont="1" applyFill="1" applyBorder="1" applyAlignment="1">
      <alignment vertical="center"/>
    </xf>
    <xf numFmtId="0" fontId="38" fillId="24" borderId="28" xfId="55" applyFont="1" applyFill="1" applyBorder="1" applyAlignment="1">
      <alignment vertical="center"/>
    </xf>
    <xf numFmtId="1" fontId="59" fillId="24" borderId="37" xfId="37" applyNumberFormat="1" applyFont="1" applyFill="1" applyBorder="1" applyAlignment="1">
      <alignment horizontal="center" vertical="center"/>
    </xf>
    <xf numFmtId="0" fontId="43" fillId="24" borderId="0" xfId="55" applyFont="1" applyFill="1" applyBorder="1" applyAlignment="1">
      <alignment vertical="center"/>
    </xf>
    <xf numFmtId="0" fontId="35" fillId="24" borderId="0" xfId="0" applyFont="1" applyFill="1" applyAlignment="1">
      <alignment vertical="center"/>
    </xf>
    <xf numFmtId="0" fontId="44" fillId="0" borderId="25" xfId="55" applyFont="1" applyBorder="1" applyAlignment="1">
      <alignment vertical="center"/>
    </xf>
    <xf numFmtId="0" fontId="44" fillId="0" borderId="25" xfId="55" applyFont="1" applyFill="1" applyBorder="1" applyAlignment="1">
      <alignment vertical="center"/>
    </xf>
    <xf numFmtId="0" fontId="59" fillId="0" borderId="39" xfId="0" applyFont="1" applyBorder="1" applyAlignment="1">
      <alignment vertical="center"/>
    </xf>
    <xf numFmtId="0" fontId="0" fillId="28" borderId="0" xfId="0" applyFill="1" applyBorder="1"/>
    <xf numFmtId="1" fontId="37" fillId="0" borderId="0" xfId="0" applyNumberFormat="1" applyFont="1" applyFill="1" applyBorder="1" applyAlignment="1">
      <alignment vertical="center"/>
    </xf>
    <xf numFmtId="1" fontId="37" fillId="0" borderId="28" xfId="0" applyNumberFormat="1" applyFont="1" applyFill="1" applyBorder="1" applyAlignment="1">
      <alignment vertical="center"/>
    </xf>
    <xf numFmtId="0" fontId="33" fillId="0" borderId="27" xfId="37" applyFont="1" applyBorder="1" applyAlignment="1">
      <alignment vertical="center"/>
    </xf>
    <xf numFmtId="0" fontId="33" fillId="0" borderId="0" xfId="37" applyFont="1" applyBorder="1" applyAlignment="1">
      <alignment vertical="center"/>
    </xf>
    <xf numFmtId="167" fontId="39" fillId="0" borderId="0" xfId="0" applyNumberFormat="1" applyFont="1" applyBorder="1" applyAlignment="1">
      <alignment horizontal="left" vertical="center"/>
    </xf>
    <xf numFmtId="0" fontId="32" fillId="0" borderId="27" xfId="37" applyFont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167" fontId="50" fillId="0" borderId="0" xfId="57" applyNumberFormat="1" applyFont="1" applyBorder="1" applyAlignment="1">
      <alignment vertical="center"/>
    </xf>
    <xf numFmtId="167" fontId="37" fillId="26" borderId="0" xfId="0" applyNumberFormat="1" applyFont="1" applyFill="1" applyBorder="1" applyAlignment="1">
      <alignment vertical="center"/>
    </xf>
    <xf numFmtId="0" fontId="32" fillId="0" borderId="0" xfId="37" applyFont="1" applyBorder="1" applyAlignment="1">
      <alignment vertical="center"/>
    </xf>
    <xf numFmtId="167" fontId="34" fillId="26" borderId="0" xfId="0" applyNumberFormat="1" applyFont="1" applyFill="1" applyBorder="1" applyAlignment="1">
      <alignment vertical="center"/>
    </xf>
    <xf numFmtId="0" fontId="34" fillId="0" borderId="27" xfId="37" applyFont="1" applyBorder="1" applyAlignment="1">
      <alignment vertical="center"/>
    </xf>
    <xf numFmtId="0" fontId="34" fillId="0" borderId="0" xfId="37" applyFont="1" applyBorder="1" applyAlignment="1">
      <alignment vertical="center"/>
    </xf>
    <xf numFmtId="167" fontId="39" fillId="0" borderId="0" xfId="0" applyNumberFormat="1" applyFont="1" applyBorder="1" applyAlignment="1">
      <alignment vertical="center"/>
    </xf>
    <xf numFmtId="167" fontId="37" fillId="0" borderId="0" xfId="0" applyNumberFormat="1" applyFont="1" applyBorder="1" applyAlignment="1">
      <alignment vertical="center"/>
    </xf>
    <xf numFmtId="167" fontId="34" fillId="0" borderId="28" xfId="0" applyNumberFormat="1" applyFont="1" applyBorder="1" applyAlignment="1">
      <alignment vertical="center"/>
    </xf>
    <xf numFmtId="167" fontId="35" fillId="0" borderId="30" xfId="0" applyNumberFormat="1" applyFont="1" applyBorder="1" applyAlignment="1">
      <alignment vertical="center"/>
    </xf>
    <xf numFmtId="167" fontId="34" fillId="0" borderId="31" xfId="0" applyNumberFormat="1" applyFont="1" applyBorder="1" applyAlignment="1">
      <alignment vertical="center"/>
    </xf>
    <xf numFmtId="167" fontId="35" fillId="0" borderId="27" xfId="0" applyNumberFormat="1" applyFont="1" applyBorder="1" applyAlignment="1">
      <alignment vertical="center"/>
    </xf>
    <xf numFmtId="164" fontId="35" fillId="0" borderId="27" xfId="37" applyNumberFormat="1" applyFont="1" applyBorder="1" applyAlignment="1">
      <alignment vertical="center"/>
    </xf>
    <xf numFmtId="164" fontId="34" fillId="0" borderId="27" xfId="37" applyNumberFormat="1" applyFont="1" applyBorder="1" applyAlignment="1">
      <alignment vertical="center"/>
    </xf>
    <xf numFmtId="164" fontId="36" fillId="0" borderId="0" xfId="37" applyNumberFormat="1" applyFont="1" applyBorder="1" applyAlignment="1">
      <alignment vertical="center"/>
    </xf>
    <xf numFmtId="164" fontId="32" fillId="0" borderId="27" xfId="37" applyNumberFormat="1" applyFont="1" applyFill="1" applyBorder="1" applyAlignment="1">
      <alignment vertical="center"/>
    </xf>
    <xf numFmtId="164" fontId="32" fillId="0" borderId="0" xfId="37" applyNumberFormat="1" applyFont="1" applyFill="1" applyBorder="1" applyAlignment="1">
      <alignment vertical="center"/>
    </xf>
    <xf numFmtId="164" fontId="32" fillId="0" borderId="27" xfId="55" applyNumberFormat="1" applyFont="1" applyBorder="1" applyAlignment="1">
      <alignment vertical="center"/>
    </xf>
    <xf numFmtId="164" fontId="32" fillId="0" borderId="0" xfId="55" applyNumberFormat="1" applyFont="1" applyBorder="1" applyAlignment="1">
      <alignment vertical="center"/>
    </xf>
    <xf numFmtId="164" fontId="33" fillId="0" borderId="27" xfId="37" applyNumberFormat="1" applyFont="1" applyBorder="1" applyAlignment="1">
      <alignment vertical="center"/>
    </xf>
    <xf numFmtId="164" fontId="34" fillId="0" borderId="27" xfId="37" applyNumberFormat="1" applyFont="1" applyBorder="1"/>
    <xf numFmtId="167" fontId="37" fillId="26" borderId="0" xfId="0" applyNumberFormat="1" applyFont="1" applyFill="1" applyBorder="1"/>
    <xf numFmtId="167" fontId="52" fillId="0" borderId="28" xfId="57" applyNumberFormat="1" applyFont="1" applyBorder="1" applyAlignment="1">
      <alignment vertical="center"/>
    </xf>
    <xf numFmtId="0" fontId="32" fillId="0" borderId="27" xfId="37" applyFont="1" applyFill="1" applyBorder="1" applyAlignment="1">
      <alignment vertical="center"/>
    </xf>
    <xf numFmtId="0" fontId="32" fillId="0" borderId="0" xfId="37" applyFont="1" applyFill="1" applyBorder="1" applyAlignment="1">
      <alignment vertical="center"/>
    </xf>
    <xf numFmtId="164" fontId="33" fillId="0" borderId="0" xfId="55" applyNumberFormat="1" applyFont="1" applyBorder="1" applyAlignment="1">
      <alignment vertical="center"/>
    </xf>
    <xf numFmtId="164" fontId="32" fillId="0" borderId="27" xfId="37" applyNumberFormat="1" applyFont="1" applyBorder="1" applyAlignment="1">
      <alignment vertical="center"/>
    </xf>
    <xf numFmtId="0" fontId="34" fillId="0" borderId="40" xfId="0" applyFont="1" applyBorder="1" applyAlignment="1">
      <alignment vertical="center"/>
    </xf>
    <xf numFmtId="0" fontId="34" fillId="0" borderId="11" xfId="0" applyFont="1" applyBorder="1" applyAlignment="1">
      <alignment vertical="center"/>
    </xf>
    <xf numFmtId="165" fontId="34" fillId="0" borderId="11" xfId="57" applyNumberFormat="1" applyFont="1" applyBorder="1" applyAlignment="1">
      <alignment vertical="center"/>
    </xf>
    <xf numFmtId="0" fontId="0" fillId="0" borderId="11" xfId="0" applyBorder="1"/>
    <xf numFmtId="165" fontId="37" fillId="0" borderId="11" xfId="57" applyNumberFormat="1" applyFont="1" applyFill="1" applyBorder="1" applyAlignment="1">
      <alignment vertical="center"/>
    </xf>
    <xf numFmtId="165" fontId="38" fillId="0" borderId="11" xfId="57" applyNumberFormat="1" applyFont="1" applyFill="1" applyBorder="1" applyAlignment="1">
      <alignment vertical="center"/>
    </xf>
    <xf numFmtId="165" fontId="38" fillId="0" borderId="32" xfId="57" applyNumberFormat="1" applyFont="1" applyFill="1" applyBorder="1" applyAlignment="1">
      <alignment vertical="center"/>
    </xf>
    <xf numFmtId="0" fontId="44" fillId="0" borderId="25" xfId="55" applyFont="1" applyBorder="1" applyAlignment="1">
      <alignment horizontal="center" vertical="center"/>
    </xf>
    <xf numFmtId="0" fontId="61" fillId="0" borderId="33" xfId="55" applyFont="1" applyBorder="1" applyAlignment="1">
      <alignment horizontal="center" vertical="center"/>
    </xf>
    <xf numFmtId="0" fontId="33" fillId="0" borderId="0" xfId="37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164" fontId="33" fillId="0" borderId="0" xfId="55" applyNumberFormat="1" applyFont="1" applyBorder="1" applyAlignment="1">
      <alignment horizontal="center" vertical="center"/>
    </xf>
    <xf numFmtId="0" fontId="45" fillId="0" borderId="25" xfId="55" applyFont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164" fontId="33" fillId="0" borderId="0" xfId="37" applyNumberFormat="1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1" fontId="34" fillId="24" borderId="0" xfId="0" applyNumberFormat="1" applyFont="1" applyFill="1" applyBorder="1" applyAlignment="1">
      <alignment vertical="center"/>
    </xf>
    <xf numFmtId="1" fontId="35" fillId="24" borderId="0" xfId="0" applyNumberFormat="1" applyFont="1" applyFill="1" applyBorder="1" applyAlignment="1">
      <alignment horizontal="center" vertical="center"/>
    </xf>
    <xf numFmtId="167" fontId="39" fillId="24" borderId="0" xfId="0" applyNumberFormat="1" applyFont="1" applyFill="1" applyBorder="1" applyAlignment="1">
      <alignment vertical="center"/>
    </xf>
    <xf numFmtId="167" fontId="35" fillId="24" borderId="0" xfId="0" applyNumberFormat="1" applyFont="1" applyFill="1" applyBorder="1" applyAlignment="1">
      <alignment vertical="center"/>
    </xf>
    <xf numFmtId="167" fontId="34" fillId="24" borderId="0" xfId="0" applyNumberFormat="1" applyFont="1" applyFill="1" applyBorder="1" applyAlignment="1">
      <alignment vertical="center"/>
    </xf>
    <xf numFmtId="167" fontId="34" fillId="24" borderId="27" xfId="0" applyNumberFormat="1" applyFont="1" applyFill="1" applyBorder="1" applyAlignment="1">
      <alignment vertical="center"/>
    </xf>
    <xf numFmtId="1" fontId="34" fillId="0" borderId="10" xfId="0" applyNumberFormat="1" applyFont="1" applyBorder="1" applyAlignment="1">
      <alignment vertical="center"/>
    </xf>
    <xf numFmtId="1" fontId="35" fillId="0" borderId="10" xfId="0" applyNumberFormat="1" applyFont="1" applyBorder="1" applyAlignment="1">
      <alignment horizontal="center" vertical="center"/>
    </xf>
    <xf numFmtId="167" fontId="37" fillId="24" borderId="0" xfId="0" applyNumberFormat="1" applyFont="1" applyFill="1" applyBorder="1"/>
    <xf numFmtId="0" fontId="37" fillId="24" borderId="0" xfId="0" applyFont="1" applyFill="1" applyBorder="1"/>
    <xf numFmtId="167" fontId="34" fillId="24" borderId="0" xfId="0" applyNumberFormat="1" applyFont="1" applyFill="1" applyBorder="1"/>
    <xf numFmtId="167" fontId="51" fillId="0" borderId="0" xfId="57" applyNumberFormat="1" applyFont="1" applyBorder="1" applyAlignment="1">
      <alignment vertical="center"/>
    </xf>
    <xf numFmtId="167" fontId="52" fillId="0" borderId="0" xfId="57" applyNumberFormat="1" applyFont="1" applyBorder="1" applyAlignment="1">
      <alignment vertical="center"/>
    </xf>
    <xf numFmtId="0" fontId="35" fillId="0" borderId="10" xfId="0" applyFont="1" applyBorder="1" applyAlignment="1">
      <alignment horizontal="center" vertical="center"/>
    </xf>
    <xf numFmtId="0" fontId="34" fillId="0" borderId="10" xfId="0" applyFont="1" applyBorder="1"/>
    <xf numFmtId="0" fontId="34" fillId="0" borderId="0" xfId="0" applyFont="1" applyAlignment="1">
      <alignment horizontal="center"/>
    </xf>
    <xf numFmtId="0" fontId="34" fillId="0" borderId="10" xfId="0" applyFont="1" applyBorder="1" applyAlignment="1">
      <alignment horizontal="center"/>
    </xf>
    <xf numFmtId="0" fontId="59" fillId="0" borderId="39" xfId="0" applyFont="1" applyBorder="1"/>
    <xf numFmtId="164" fontId="35" fillId="0" borderId="27" xfId="37" applyNumberFormat="1" applyFont="1" applyBorder="1"/>
    <xf numFmtId="164" fontId="35" fillId="0" borderId="0" xfId="37" applyNumberFormat="1" applyFont="1" applyBorder="1" applyAlignment="1">
      <alignment horizontal="center"/>
    </xf>
    <xf numFmtId="167" fontId="35" fillId="0" borderId="30" xfId="0" applyNumberFormat="1" applyFont="1" applyBorder="1"/>
    <xf numFmtId="167" fontId="34" fillId="0" borderId="31" xfId="0" applyNumberFormat="1" applyFont="1" applyBorder="1"/>
    <xf numFmtId="0" fontId="0" fillId="0" borderId="27" xfId="0" applyBorder="1"/>
    <xf numFmtId="0" fontId="0" fillId="0" borderId="0" xfId="0" applyBorder="1"/>
    <xf numFmtId="0" fontId="0" fillId="0" borderId="28" xfId="0" applyBorder="1"/>
    <xf numFmtId="167" fontId="37" fillId="0" borderId="0" xfId="0" applyNumberFormat="1" applyFont="1" applyBorder="1"/>
    <xf numFmtId="167" fontId="34" fillId="0" borderId="27" xfId="0" applyNumberFormat="1" applyFont="1" applyBorder="1"/>
    <xf numFmtId="164" fontId="34" fillId="0" borderId="27" xfId="55" applyNumberFormat="1" applyFont="1" applyBorder="1"/>
    <xf numFmtId="164" fontId="34" fillId="0" borderId="0" xfId="55" applyNumberFormat="1" applyFont="1" applyBorder="1"/>
    <xf numFmtId="164" fontId="36" fillId="0" borderId="0" xfId="37" applyNumberFormat="1" applyFont="1" applyBorder="1"/>
    <xf numFmtId="164" fontId="34" fillId="0" borderId="27" xfId="37" applyNumberFormat="1" applyFont="1" applyFill="1" applyBorder="1"/>
    <xf numFmtId="164" fontId="34" fillId="0" borderId="0" xfId="37" applyNumberFormat="1" applyFont="1" applyFill="1" applyBorder="1"/>
    <xf numFmtId="164" fontId="32" fillId="0" borderId="27" xfId="37" applyNumberFormat="1" applyFont="1" applyBorder="1"/>
    <xf numFmtId="167" fontId="32" fillId="0" borderId="31" xfId="55" applyNumberFormat="1" applyFont="1" applyBorder="1"/>
    <xf numFmtId="167" fontId="35" fillId="0" borderId="27" xfId="0" applyNumberFormat="1" applyFont="1" applyBorder="1"/>
    <xf numFmtId="0" fontId="43" fillId="0" borderId="25" xfId="55" applyFont="1" applyBorder="1" applyAlignment="1">
      <alignment vertical="center"/>
    </xf>
    <xf numFmtId="0" fontId="35" fillId="0" borderId="27" xfId="0" applyFont="1" applyFill="1" applyBorder="1" applyAlignment="1">
      <alignment vertical="center"/>
    </xf>
    <xf numFmtId="0" fontId="38" fillId="0" borderId="28" xfId="0" applyFont="1" applyFill="1" applyBorder="1" applyAlignment="1">
      <alignment vertical="center"/>
    </xf>
    <xf numFmtId="167" fontId="50" fillId="0" borderId="0" xfId="0" applyNumberFormat="1" applyFont="1" applyBorder="1" applyAlignment="1">
      <alignment vertical="center"/>
    </xf>
    <xf numFmtId="167" fontId="50" fillId="0" borderId="0" xfId="0" applyNumberFormat="1" applyFont="1" applyFill="1" applyBorder="1" applyAlignment="1">
      <alignment vertical="center"/>
    </xf>
    <xf numFmtId="164" fontId="49" fillId="0" borderId="0" xfId="55" applyNumberFormat="1" applyFont="1" applyFill="1" applyBorder="1" applyAlignment="1">
      <alignment vertical="center"/>
    </xf>
    <xf numFmtId="164" fontId="49" fillId="0" borderId="28" xfId="55" applyNumberFormat="1" applyFont="1" applyFill="1" applyBorder="1" applyAlignment="1">
      <alignment vertical="center"/>
    </xf>
    <xf numFmtId="167" fontId="51" fillId="26" borderId="0" xfId="57" applyNumberFormat="1" applyFont="1" applyFill="1" applyBorder="1" applyAlignment="1">
      <alignment vertical="center"/>
    </xf>
    <xf numFmtId="167" fontId="51" fillId="0" borderId="0" xfId="57" applyNumberFormat="1" applyFont="1" applyFill="1" applyBorder="1" applyAlignment="1">
      <alignment vertical="center"/>
    </xf>
    <xf numFmtId="164" fontId="51" fillId="0" borderId="0" xfId="55" applyNumberFormat="1" applyFont="1" applyFill="1" applyBorder="1" applyAlignment="1">
      <alignment vertical="center"/>
    </xf>
    <xf numFmtId="164" fontId="34" fillId="26" borderId="0" xfId="0" applyNumberFormat="1" applyFont="1" applyFill="1" applyBorder="1" applyAlignment="1">
      <alignment vertical="center"/>
    </xf>
    <xf numFmtId="164" fontId="52" fillId="0" borderId="0" xfId="55" applyNumberFormat="1" applyFont="1" applyBorder="1" applyAlignment="1">
      <alignment vertical="center"/>
    </xf>
    <xf numFmtId="164" fontId="52" fillId="0" borderId="27" xfId="55" applyNumberFormat="1" applyFont="1" applyBorder="1" applyAlignment="1">
      <alignment vertical="center"/>
    </xf>
    <xf numFmtId="167" fontId="47" fillId="0" borderId="31" xfId="57" applyNumberFormat="1" applyFont="1" applyBorder="1" applyAlignment="1">
      <alignment vertical="center"/>
    </xf>
    <xf numFmtId="0" fontId="72" fillId="0" borderId="0" xfId="55" applyFont="1" applyAlignment="1">
      <alignment vertical="center"/>
    </xf>
    <xf numFmtId="0" fontId="49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65" fontId="52" fillId="0" borderId="0" xfId="57" applyNumberFormat="1" applyFont="1" applyAlignment="1">
      <alignment vertical="center"/>
    </xf>
    <xf numFmtId="166" fontId="52" fillId="0" borderId="18" xfId="58" applyNumberFormat="1" applyFont="1" applyFill="1" applyBorder="1" applyAlignment="1">
      <alignment horizontal="center" vertical="center"/>
    </xf>
    <xf numFmtId="0" fontId="47" fillId="26" borderId="41" xfId="0" applyFont="1" applyFill="1" applyBorder="1" applyAlignment="1" applyProtection="1">
      <alignment horizontal="center" vertical="center"/>
      <protection locked="0"/>
    </xf>
    <xf numFmtId="0" fontId="47" fillId="26" borderId="42" xfId="0" applyFont="1" applyFill="1" applyBorder="1" applyAlignment="1" applyProtection="1">
      <alignment horizontal="center" vertical="center"/>
      <protection locked="0"/>
    </xf>
    <xf numFmtId="0" fontId="72" fillId="0" borderId="0" xfId="55" applyFont="1" applyFill="1" applyAlignment="1">
      <alignment vertical="center"/>
    </xf>
    <xf numFmtId="0" fontId="73" fillId="28" borderId="0" xfId="0" applyFont="1" applyFill="1"/>
    <xf numFmtId="0" fontId="47" fillId="0" borderId="0" xfId="0" applyFont="1" applyFill="1" applyBorder="1" applyAlignment="1">
      <alignment vertical="center"/>
    </xf>
    <xf numFmtId="165" fontId="52" fillId="0" borderId="0" xfId="57" applyNumberFormat="1" applyFont="1" applyFill="1" applyAlignment="1">
      <alignment vertical="center"/>
    </xf>
    <xf numFmtId="0" fontId="47" fillId="0" borderId="17" xfId="0" applyFont="1" applyFill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52" fillId="0" borderId="0" xfId="0" applyFont="1" applyFill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0" fontId="47" fillId="28" borderId="0" xfId="0" applyFont="1" applyFill="1" applyAlignment="1">
      <alignment horizontal="center" vertical="center"/>
    </xf>
    <xf numFmtId="0" fontId="74" fillId="0" borderId="0" xfId="0" applyFont="1"/>
    <xf numFmtId="8" fontId="75" fillId="0" borderId="0" xfId="0" applyNumberFormat="1" applyFont="1" applyAlignment="1">
      <alignment horizontal="right"/>
    </xf>
    <xf numFmtId="0" fontId="75" fillId="0" borderId="0" xfId="0" applyFont="1" applyAlignment="1">
      <alignment horizontal="center"/>
    </xf>
    <xf numFmtId="0" fontId="75" fillId="0" borderId="0" xfId="0" applyFont="1"/>
    <xf numFmtId="0" fontId="76" fillId="0" borderId="0" xfId="0" applyFont="1"/>
    <xf numFmtId="0" fontId="9" fillId="0" borderId="0" xfId="0" applyFont="1"/>
    <xf numFmtId="8" fontId="34" fillId="0" borderId="0" xfId="0" applyNumberFormat="1" applyFont="1" applyAlignment="1">
      <alignment horizontal="center"/>
    </xf>
    <xf numFmtId="0" fontId="76" fillId="24" borderId="33" xfId="0" applyFont="1" applyFill="1" applyBorder="1" applyAlignment="1">
      <alignment horizontal="left" wrapText="1"/>
    </xf>
    <xf numFmtId="0" fontId="35" fillId="24" borderId="33" xfId="0" applyFont="1" applyFill="1" applyBorder="1" applyAlignment="1">
      <alignment horizontal="left"/>
    </xf>
    <xf numFmtId="0" fontId="78" fillId="0" borderId="0" xfId="0" applyFont="1"/>
    <xf numFmtId="8" fontId="35" fillId="24" borderId="33" xfId="0" applyNumberFormat="1" applyFont="1" applyFill="1" applyBorder="1" applyAlignment="1">
      <alignment horizontal="left"/>
    </xf>
    <xf numFmtId="0" fontId="0" fillId="0" borderId="37" xfId="0" applyBorder="1"/>
    <xf numFmtId="0" fontId="0" fillId="0" borderId="33" xfId="0" applyBorder="1"/>
    <xf numFmtId="8" fontId="0" fillId="0" borderId="46" xfId="0" applyNumberFormat="1" applyBorder="1" applyAlignment="1">
      <alignment horizontal="right"/>
    </xf>
    <xf numFmtId="0" fontId="76" fillId="0" borderId="37" xfId="0" applyFont="1" applyBorder="1"/>
    <xf numFmtId="0" fontId="76" fillId="0" borderId="33" xfId="0" applyFont="1" applyBorder="1"/>
    <xf numFmtId="17" fontId="0" fillId="0" borderId="37" xfId="0" applyNumberFormat="1" applyBorder="1"/>
    <xf numFmtId="17" fontId="0" fillId="0" borderId="33" xfId="0" applyNumberFormat="1" applyBorder="1"/>
    <xf numFmtId="14" fontId="0" fillId="0" borderId="37" xfId="0" applyNumberFormat="1" applyBorder="1"/>
    <xf numFmtId="0" fontId="78" fillId="0" borderId="37" xfId="0" applyFont="1" applyBorder="1"/>
    <xf numFmtId="0" fontId="78" fillId="0" borderId="33" xfId="0" applyFont="1" applyBorder="1"/>
    <xf numFmtId="0" fontId="76" fillId="0" borderId="47" xfId="0" applyFont="1" applyBorder="1"/>
    <xf numFmtId="0" fontId="76" fillId="0" borderId="48" xfId="0" applyFont="1" applyBorder="1"/>
    <xf numFmtId="8" fontId="76" fillId="0" borderId="49" xfId="0" applyNumberFormat="1" applyFont="1" applyBorder="1" applyAlignment="1">
      <alignment horizontal="right"/>
    </xf>
    <xf numFmtId="8" fontId="0" fillId="0" borderId="0" xfId="0" applyNumberFormat="1" applyAlignment="1">
      <alignment horizontal="right"/>
    </xf>
    <xf numFmtId="8" fontId="76" fillId="24" borderId="0" xfId="0" applyNumberFormat="1" applyFont="1" applyFill="1"/>
    <xf numFmtId="0" fontId="79" fillId="0" borderId="0" xfId="0" applyFont="1" applyAlignment="1">
      <alignment vertical="center"/>
    </xf>
    <xf numFmtId="0" fontId="80" fillId="0" borderId="0" xfId="37" applyFont="1" applyAlignment="1">
      <alignment vertical="center"/>
    </xf>
    <xf numFmtId="167" fontId="35" fillId="0" borderId="10" xfId="57" applyNumberFormat="1" applyFont="1" applyFill="1" applyBorder="1" applyAlignment="1">
      <alignment vertical="center"/>
    </xf>
    <xf numFmtId="169" fontId="35" fillId="0" borderId="31" xfId="0" applyNumberFormat="1" applyFont="1" applyBorder="1"/>
    <xf numFmtId="8" fontId="30" fillId="0" borderId="46" xfId="0" applyNumberFormat="1" applyFont="1" applyBorder="1" applyAlignment="1">
      <alignment horizontal="right"/>
    </xf>
    <xf numFmtId="8" fontId="34" fillId="0" borderId="0" xfId="0" applyNumberFormat="1" applyFont="1" applyAlignment="1">
      <alignment horizontal="left" wrapText="1"/>
    </xf>
    <xf numFmtId="6" fontId="34" fillId="0" borderId="33" xfId="0" applyNumberFormat="1" applyFont="1" applyBorder="1" applyAlignment="1">
      <alignment horizontal="center"/>
    </xf>
    <xf numFmtId="6" fontId="34" fillId="24" borderId="33" xfId="0" applyNumberFormat="1" applyFont="1" applyFill="1" applyBorder="1" applyAlignment="1">
      <alignment horizontal="center"/>
    </xf>
    <xf numFmtId="6" fontId="34" fillId="0" borderId="34" xfId="0" applyNumberFormat="1" applyFont="1" applyBorder="1" applyAlignment="1">
      <alignment horizontal="center"/>
    </xf>
    <xf numFmtId="170" fontId="30" fillId="0" borderId="35" xfId="0" applyNumberFormat="1" applyFont="1" applyBorder="1" applyAlignment="1">
      <alignment horizontal="center"/>
    </xf>
    <xf numFmtId="8" fontId="34" fillId="0" borderId="0" xfId="0" applyNumberFormat="1" applyFont="1" applyBorder="1" applyAlignment="1">
      <alignment horizontal="left"/>
    </xf>
    <xf numFmtId="6" fontId="34" fillId="0" borderId="0" xfId="0" applyNumberFormat="1" applyFont="1" applyAlignment="1">
      <alignment horizontal="center"/>
    </xf>
    <xf numFmtId="8" fontId="0" fillId="0" borderId="0" xfId="0" applyNumberFormat="1" applyAlignment="1">
      <alignment horizontal="left" vertical="center" wrapText="1"/>
    </xf>
    <xf numFmtId="0" fontId="38" fillId="0" borderId="27" xfId="0" applyFont="1" applyFill="1" applyBorder="1" applyAlignment="1">
      <alignment horizontal="center" vertical="center"/>
    </xf>
    <xf numFmtId="0" fontId="37" fillId="0" borderId="27" xfId="0" applyFont="1" applyFill="1" applyBorder="1"/>
    <xf numFmtId="164" fontId="37" fillId="0" borderId="27" xfId="37" applyNumberFormat="1" applyFont="1" applyFill="1" applyBorder="1" applyAlignment="1">
      <alignment vertical="center"/>
    </xf>
    <xf numFmtId="167" fontId="38" fillId="0" borderId="30" xfId="57" applyNumberFormat="1" applyFont="1" applyFill="1" applyBorder="1"/>
    <xf numFmtId="0" fontId="0" fillId="0" borderId="35" xfId="0" applyBorder="1"/>
    <xf numFmtId="0" fontId="76" fillId="0" borderId="35" xfId="0" applyFont="1" applyBorder="1"/>
    <xf numFmtId="8" fontId="0" fillId="0" borderId="34" xfId="0" applyNumberFormat="1" applyBorder="1" applyAlignment="1">
      <alignment horizontal="right"/>
    </xf>
    <xf numFmtId="164" fontId="32" fillId="24" borderId="27" xfId="55" applyNumberFormat="1" applyFont="1" applyFill="1" applyBorder="1" applyAlignment="1">
      <alignment vertical="center"/>
    </xf>
    <xf numFmtId="167" fontId="35" fillId="0" borderId="0" xfId="0" applyNumberFormat="1" applyFont="1" applyAlignment="1">
      <alignment vertical="center"/>
    </xf>
    <xf numFmtId="2" fontId="34" fillId="0" borderId="0" xfId="0" applyNumberFormat="1" applyFont="1" applyAlignment="1">
      <alignment vertical="center"/>
    </xf>
    <xf numFmtId="0" fontId="52" fillId="0" borderId="0" xfId="0" applyFont="1" applyFill="1" applyBorder="1" applyAlignment="1">
      <alignment horizontal="center" vertical="center"/>
    </xf>
    <xf numFmtId="3" fontId="35" fillId="0" borderId="0" xfId="0" applyNumberFormat="1" applyFont="1" applyAlignment="1">
      <alignment vertical="center"/>
    </xf>
    <xf numFmtId="3" fontId="34" fillId="0" borderId="0" xfId="0" applyNumberFormat="1" applyFont="1" applyAlignment="1">
      <alignment vertical="center"/>
    </xf>
    <xf numFmtId="170" fontId="30" fillId="0" borderId="33" xfId="0" applyNumberFormat="1" applyFont="1" applyBorder="1" applyAlignment="1">
      <alignment horizontal="center"/>
    </xf>
    <xf numFmtId="0" fontId="30" fillId="0" borderId="37" xfId="0" applyFont="1" applyBorder="1"/>
    <xf numFmtId="0" fontId="30" fillId="0" borderId="33" xfId="0" applyFont="1" applyBorder="1"/>
    <xf numFmtId="14" fontId="30" fillId="0" borderId="37" xfId="0" applyNumberFormat="1" applyFont="1" applyBorder="1"/>
    <xf numFmtId="0" fontId="35" fillId="0" borderId="37" xfId="0" applyFont="1" applyBorder="1"/>
    <xf numFmtId="0" fontId="8" fillId="0" borderId="37" xfId="0" applyFont="1" applyBorder="1"/>
    <xf numFmtId="0" fontId="8" fillId="0" borderId="33" xfId="0" applyFont="1" applyBorder="1"/>
    <xf numFmtId="8" fontId="60" fillId="0" borderId="46" xfId="0" applyNumberFormat="1" applyFont="1" applyBorder="1" applyAlignment="1">
      <alignment horizontal="right"/>
    </xf>
    <xf numFmtId="17" fontId="30" fillId="0" borderId="37" xfId="0" applyNumberFormat="1" applyFont="1" applyBorder="1"/>
    <xf numFmtId="17" fontId="30" fillId="0" borderId="33" xfId="0" applyNumberFormat="1" applyFont="1" applyBorder="1"/>
    <xf numFmtId="17" fontId="30" fillId="0" borderId="35" xfId="0" applyNumberFormat="1" applyFont="1" applyBorder="1"/>
    <xf numFmtId="0" fontId="35" fillId="0" borderId="35" xfId="0" applyFont="1" applyBorder="1"/>
    <xf numFmtId="14" fontId="0" fillId="0" borderId="35" xfId="0" applyNumberFormat="1" applyBorder="1"/>
    <xf numFmtId="17" fontId="0" fillId="0" borderId="35" xfId="0" applyNumberFormat="1" applyBorder="1"/>
    <xf numFmtId="0" fontId="76" fillId="0" borderId="55" xfId="0" applyFont="1" applyBorder="1"/>
    <xf numFmtId="0" fontId="30" fillId="0" borderId="35" xfId="0" applyFont="1" applyBorder="1"/>
    <xf numFmtId="0" fontId="7" fillId="0" borderId="35" xfId="0" applyFont="1" applyBorder="1"/>
    <xf numFmtId="0" fontId="7" fillId="0" borderId="33" xfId="0" applyFont="1" applyBorder="1"/>
    <xf numFmtId="0" fontId="30" fillId="0" borderId="33" xfId="0" applyFont="1" applyFill="1" applyBorder="1"/>
    <xf numFmtId="8" fontId="30" fillId="0" borderId="46" xfId="0" applyNumberFormat="1" applyFont="1" applyFill="1" applyBorder="1" applyAlignment="1">
      <alignment horizontal="right"/>
    </xf>
    <xf numFmtId="0" fontId="7" fillId="0" borderId="37" xfId="0" applyFont="1" applyBorder="1"/>
    <xf numFmtId="0" fontId="6" fillId="0" borderId="37" xfId="0" applyFont="1" applyBorder="1"/>
    <xf numFmtId="168" fontId="0" fillId="0" borderId="33" xfId="0" applyNumberFormat="1" applyBorder="1"/>
    <xf numFmtId="0" fontId="82" fillId="0" borderId="0" xfId="0" applyFont="1"/>
    <xf numFmtId="171" fontId="76" fillId="0" borderId="58" xfId="0" applyNumberFormat="1" applyFont="1" applyBorder="1" applyAlignment="1">
      <alignment horizontal="center" vertical="center" wrapText="1"/>
    </xf>
    <xf numFmtId="0" fontId="76" fillId="24" borderId="57" xfId="0" applyFont="1" applyFill="1" applyBorder="1" applyAlignment="1">
      <alignment horizontal="center" vertical="center" wrapText="1"/>
    </xf>
    <xf numFmtId="171" fontId="76" fillId="24" borderId="58" xfId="0" applyNumberFormat="1" applyFont="1" applyFill="1" applyBorder="1" applyAlignment="1">
      <alignment horizontal="center" vertical="center" wrapText="1"/>
    </xf>
    <xf numFmtId="0" fontId="84" fillId="0" borderId="57" xfId="0" applyFont="1" applyBorder="1" applyAlignment="1">
      <alignment horizontal="center" vertical="center" wrapText="1"/>
    </xf>
    <xf numFmtId="8" fontId="34" fillId="24" borderId="0" xfId="0" applyNumberFormat="1" applyFont="1" applyFill="1" applyAlignment="1">
      <alignment horizontal="right"/>
    </xf>
    <xf numFmtId="6" fontId="34" fillId="24" borderId="0" xfId="0" applyNumberFormat="1" applyFont="1" applyFill="1" applyAlignment="1">
      <alignment horizontal="center"/>
    </xf>
    <xf numFmtId="0" fontId="35" fillId="24" borderId="57" xfId="0" applyFont="1" applyFill="1" applyBorder="1" applyAlignment="1">
      <alignment horizontal="left"/>
    </xf>
    <xf numFmtId="6" fontId="34" fillId="0" borderId="57" xfId="0" applyNumberFormat="1" applyFont="1" applyBorder="1" applyAlignment="1">
      <alignment horizontal="center"/>
    </xf>
    <xf numFmtId="170" fontId="30" fillId="0" borderId="57" xfId="0" applyNumberFormat="1" applyFont="1" applyBorder="1" applyAlignment="1">
      <alignment horizontal="center"/>
    </xf>
    <xf numFmtId="0" fontId="35" fillId="24" borderId="60" xfId="0" applyFont="1" applyFill="1" applyBorder="1" applyAlignment="1">
      <alignment horizontal="right"/>
    </xf>
    <xf numFmtId="6" fontId="35" fillId="0" borderId="61" xfId="0" applyNumberFormat="1" applyFont="1" applyBorder="1" applyAlignment="1">
      <alignment horizontal="center"/>
    </xf>
    <xf numFmtId="6" fontId="35" fillId="0" borderId="62" xfId="0" applyNumberFormat="1" applyFont="1" applyBorder="1" applyAlignment="1">
      <alignment horizontal="center"/>
    </xf>
    <xf numFmtId="6" fontId="35" fillId="0" borderId="63" xfId="0" applyNumberFormat="1" applyFont="1" applyBorder="1" applyAlignment="1">
      <alignment horizontal="center"/>
    </xf>
    <xf numFmtId="170" fontId="60" fillId="0" borderId="63" xfId="0" applyNumberFormat="1" applyFont="1" applyBorder="1" applyAlignment="1">
      <alignment horizontal="center"/>
    </xf>
    <xf numFmtId="6" fontId="35" fillId="0" borderId="64" xfId="0" applyNumberFormat="1" applyFont="1" applyBorder="1" applyAlignment="1">
      <alignment horizontal="center"/>
    </xf>
    <xf numFmtId="0" fontId="5" fillId="0" borderId="37" xfId="0" applyFont="1" applyBorder="1"/>
    <xf numFmtId="0" fontId="5" fillId="0" borderId="33" xfId="0" applyFont="1" applyBorder="1"/>
    <xf numFmtId="14" fontId="30" fillId="0" borderId="35" xfId="0" applyNumberFormat="1" applyFont="1" applyBorder="1"/>
    <xf numFmtId="0" fontId="4" fillId="0" borderId="37" xfId="0" applyFont="1" applyBorder="1"/>
    <xf numFmtId="0" fontId="4" fillId="0" borderId="33" xfId="0" applyFont="1" applyBorder="1"/>
    <xf numFmtId="168" fontId="0" fillId="0" borderId="0" xfId="0" applyNumberFormat="1"/>
    <xf numFmtId="0" fontId="59" fillId="0" borderId="16" xfId="0" applyFont="1" applyBorder="1" applyAlignment="1">
      <alignment horizontal="center"/>
    </xf>
    <xf numFmtId="0" fontId="59" fillId="0" borderId="29" xfId="0" applyFont="1" applyBorder="1" applyAlignment="1">
      <alignment horizontal="center"/>
    </xf>
    <xf numFmtId="0" fontId="0" fillId="0" borderId="33" xfId="0" applyBorder="1" applyAlignment="1">
      <alignment wrapText="1"/>
    </xf>
    <xf numFmtId="0" fontId="3" fillId="0" borderId="33" xfId="0" applyFont="1" applyBorder="1"/>
    <xf numFmtId="0" fontId="59" fillId="0" borderId="16" xfId="0" applyFont="1" applyBorder="1" applyAlignment="1">
      <alignment horizontal="center"/>
    </xf>
    <xf numFmtId="0" fontId="34" fillId="0" borderId="0" xfId="0" applyFont="1" applyFill="1" applyAlignment="1">
      <alignment horizontal="center" vertical="center"/>
    </xf>
    <xf numFmtId="10" fontId="38" fillId="0" borderId="10" xfId="0" applyNumberFormat="1" applyFont="1" applyBorder="1" applyAlignment="1">
      <alignment horizontal="center" vertical="center"/>
    </xf>
    <xf numFmtId="10" fontId="44" fillId="0" borderId="0" xfId="55" applyNumberFormat="1" applyFont="1" applyAlignment="1">
      <alignment horizontal="center" vertical="center"/>
    </xf>
    <xf numFmtId="10" fontId="34" fillId="0" borderId="0" xfId="0" applyNumberFormat="1" applyFont="1" applyAlignment="1">
      <alignment horizontal="center" vertical="center"/>
    </xf>
    <xf numFmtId="10" fontId="35" fillId="0" borderId="0" xfId="0" applyNumberFormat="1" applyFont="1" applyBorder="1" applyAlignment="1">
      <alignment horizontal="center" vertical="center"/>
    </xf>
    <xf numFmtId="10" fontId="34" fillId="0" borderId="0" xfId="37" applyNumberFormat="1" applyFont="1" applyBorder="1" applyAlignment="1">
      <alignment horizontal="center" vertical="center"/>
    </xf>
    <xf numFmtId="10" fontId="34" fillId="0" borderId="0" xfId="57" applyNumberFormat="1" applyFont="1" applyAlignment="1">
      <alignment horizontal="center" vertical="center"/>
    </xf>
    <xf numFmtId="10" fontId="57" fillId="0" borderId="0" xfId="0" applyNumberFormat="1" applyFont="1" applyAlignment="1">
      <alignment horizontal="center" vertical="center"/>
    </xf>
    <xf numFmtId="0" fontId="44" fillId="0" borderId="25" xfId="55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67" fontId="39" fillId="0" borderId="0" xfId="0" applyNumberFormat="1" applyFont="1" applyFill="1" applyBorder="1" applyAlignment="1">
      <alignment horizontal="center" vertical="center"/>
    </xf>
    <xf numFmtId="10" fontId="37" fillId="0" borderId="0" xfId="0" applyNumberFormat="1" applyFont="1" applyFill="1" applyBorder="1" applyAlignment="1">
      <alignment horizontal="center" vertical="center"/>
    </xf>
    <xf numFmtId="167" fontId="37" fillId="0" borderId="0" xfId="0" applyNumberFormat="1" applyFont="1" applyFill="1" applyBorder="1" applyAlignment="1">
      <alignment horizontal="center" vertical="center"/>
    </xf>
    <xf numFmtId="10" fontId="37" fillId="0" borderId="10" xfId="0" applyNumberFormat="1" applyFont="1" applyBorder="1" applyAlignment="1">
      <alignment horizontal="center" vertical="center"/>
    </xf>
    <xf numFmtId="167" fontId="37" fillId="24" borderId="0" xfId="0" applyNumberFormat="1" applyFont="1" applyFill="1" applyBorder="1" applyAlignment="1">
      <alignment horizontal="center" vertical="center"/>
    </xf>
    <xf numFmtId="0" fontId="37" fillId="24" borderId="0" xfId="0" applyFont="1" applyFill="1" applyBorder="1" applyAlignment="1">
      <alignment horizontal="center" vertical="center"/>
    </xf>
    <xf numFmtId="165" fontId="34" fillId="0" borderId="11" xfId="57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167" fontId="39" fillId="0" borderId="0" xfId="0" applyNumberFormat="1" applyFont="1" applyFill="1" applyBorder="1" applyAlignment="1">
      <alignment horizontal="center"/>
    </xf>
    <xf numFmtId="167" fontId="37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7" fontId="37" fillId="0" borderId="0" xfId="55" applyNumberFormat="1" applyFont="1" applyFill="1" applyBorder="1" applyAlignment="1">
      <alignment horizontal="center"/>
    </xf>
    <xf numFmtId="167" fontId="35" fillId="24" borderId="10" xfId="0" applyNumberFormat="1" applyFont="1" applyFill="1" applyBorder="1"/>
    <xf numFmtId="0" fontId="35" fillId="24" borderId="0" xfId="0" applyFont="1" applyFill="1" applyBorder="1" applyAlignment="1">
      <alignment vertical="center"/>
    </xf>
    <xf numFmtId="164" fontId="35" fillId="24" borderId="0" xfId="55" applyNumberFormat="1" applyFont="1" applyFill="1" applyBorder="1" applyAlignment="1">
      <alignment vertical="center"/>
    </xf>
    <xf numFmtId="167" fontId="38" fillId="24" borderId="0" xfId="55" applyNumberFormat="1" applyFont="1" applyFill="1" applyBorder="1"/>
    <xf numFmtId="167" fontId="37" fillId="25" borderId="0" xfId="57" applyNumberFormat="1" applyFont="1" applyFill="1" applyBorder="1" applyAlignment="1">
      <alignment vertical="center"/>
    </xf>
    <xf numFmtId="10" fontId="38" fillId="0" borderId="0" xfId="0" applyNumberFormat="1" applyFont="1" applyBorder="1" applyAlignment="1">
      <alignment horizontal="center" vertical="center"/>
    </xf>
    <xf numFmtId="0" fontId="43" fillId="0" borderId="28" xfId="37" applyFont="1" applyBorder="1"/>
    <xf numFmtId="164" fontId="32" fillId="0" borderId="28" xfId="37" applyNumberFormat="1" applyFont="1" applyBorder="1"/>
    <xf numFmtId="167" fontId="35" fillId="0" borderId="32" xfId="0" applyNumberFormat="1" applyFont="1" applyBorder="1"/>
    <xf numFmtId="0" fontId="38" fillId="27" borderId="0" xfId="0" applyFont="1" applyFill="1" applyBorder="1" applyAlignment="1">
      <alignment vertical="center"/>
    </xf>
    <xf numFmtId="0" fontId="38" fillId="24" borderId="0" xfId="0" applyFont="1" applyFill="1" applyBorder="1" applyAlignment="1">
      <alignment vertical="center"/>
    </xf>
    <xf numFmtId="0" fontId="38" fillId="27" borderId="0" xfId="0" applyFont="1" applyFill="1" applyBorder="1" applyAlignment="1">
      <alignment horizontal="left" vertical="center"/>
    </xf>
    <xf numFmtId="0" fontId="34" fillId="0" borderId="24" xfId="0" applyFont="1" applyBorder="1"/>
    <xf numFmtId="0" fontId="34" fillId="0" borderId="26" xfId="0" applyFont="1" applyBorder="1"/>
    <xf numFmtId="0" fontId="34" fillId="0" borderId="25" xfId="0" applyFont="1" applyFill="1" applyBorder="1"/>
    <xf numFmtId="0" fontId="0" fillId="0" borderId="25" xfId="0" applyBorder="1"/>
    <xf numFmtId="10" fontId="37" fillId="25" borderId="0" xfId="0" applyNumberFormat="1" applyFont="1" applyFill="1" applyBorder="1" applyAlignment="1">
      <alignment horizontal="center" vertical="center"/>
    </xf>
    <xf numFmtId="0" fontId="30" fillId="0" borderId="0" xfId="0" applyFont="1"/>
    <xf numFmtId="8" fontId="30" fillId="0" borderId="34" xfId="0" applyNumberFormat="1" applyFont="1" applyBorder="1" applyAlignment="1">
      <alignment horizontal="right"/>
    </xf>
    <xf numFmtId="8" fontId="60" fillId="0" borderId="34" xfId="0" applyNumberFormat="1" applyFont="1" applyBorder="1" applyAlignment="1">
      <alignment horizontal="right"/>
    </xf>
    <xf numFmtId="0" fontId="8" fillId="0" borderId="35" xfId="0" applyFont="1" applyBorder="1"/>
    <xf numFmtId="8" fontId="30" fillId="0" borderId="33" xfId="0" applyNumberFormat="1" applyFont="1" applyBorder="1" applyAlignment="1">
      <alignment horizontal="right"/>
    </xf>
    <xf numFmtId="8" fontId="30" fillId="0" borderId="33" xfId="0" applyNumberFormat="1" applyFont="1" applyFill="1" applyBorder="1" applyAlignment="1">
      <alignment horizontal="right"/>
    </xf>
    <xf numFmtId="8" fontId="60" fillId="0" borderId="33" xfId="0" applyNumberFormat="1" applyFont="1" applyBorder="1" applyAlignment="1">
      <alignment horizontal="right"/>
    </xf>
    <xf numFmtId="14" fontId="0" fillId="0" borderId="33" xfId="0" applyNumberFormat="1" applyBorder="1"/>
    <xf numFmtId="8" fontId="0" fillId="0" borderId="33" xfId="0" applyNumberFormat="1" applyBorder="1" applyAlignment="1">
      <alignment horizontal="right"/>
    </xf>
    <xf numFmtId="0" fontId="30" fillId="0" borderId="33" xfId="0" applyFont="1" applyBorder="1" applyAlignment="1">
      <alignment wrapText="1"/>
    </xf>
    <xf numFmtId="0" fontId="85" fillId="0" borderId="33" xfId="0" applyFont="1" applyBorder="1"/>
    <xf numFmtId="0" fontId="86" fillId="0" borderId="33" xfId="0" applyFont="1" applyBorder="1" applyAlignment="1">
      <alignment wrapText="1"/>
    </xf>
    <xf numFmtId="0" fontId="47" fillId="0" borderId="0" xfId="0" applyFont="1" applyFill="1" applyAlignment="1">
      <alignment horizontal="center" vertical="center"/>
    </xf>
    <xf numFmtId="0" fontId="35" fillId="0" borderId="0" xfId="0" quotePrefix="1" applyFont="1" applyFill="1" applyAlignment="1">
      <alignment horizontal="center" vertical="center"/>
    </xf>
    <xf numFmtId="0" fontId="61" fillId="0" borderId="0" xfId="55" applyFont="1" applyBorder="1" applyAlignment="1">
      <alignment vertical="center"/>
    </xf>
    <xf numFmtId="0" fontId="61" fillId="0" borderId="72" xfId="55" applyFont="1" applyBorder="1" applyAlignment="1">
      <alignment vertical="center"/>
    </xf>
    <xf numFmtId="0" fontId="59" fillId="0" borderId="72" xfId="0" applyFont="1" applyBorder="1" applyAlignment="1">
      <alignment vertical="center"/>
    </xf>
    <xf numFmtId="0" fontId="30" fillId="0" borderId="33" xfId="0" applyFont="1" applyBorder="1" applyAlignment="1">
      <alignment horizontal="left" wrapText="1"/>
    </xf>
    <xf numFmtId="171" fontId="83" fillId="0" borderId="0" xfId="0" quotePrefix="1" applyNumberFormat="1" applyFont="1" applyAlignment="1">
      <alignment horizontal="center"/>
    </xf>
    <xf numFmtId="6" fontId="35" fillId="0" borderId="59" xfId="0" applyNumberFormat="1" applyFont="1" applyBorder="1" applyAlignment="1">
      <alignment horizontal="center"/>
    </xf>
    <xf numFmtId="170" fontId="0" fillId="31" borderId="33" xfId="0" applyNumberFormat="1" applyFill="1" applyBorder="1" applyAlignment="1">
      <alignment horizontal="center"/>
    </xf>
    <xf numFmtId="170" fontId="0" fillId="31" borderId="57" xfId="0" applyNumberFormat="1" applyFill="1" applyBorder="1" applyAlignment="1">
      <alignment horizontal="center"/>
    </xf>
    <xf numFmtId="170" fontId="60" fillId="31" borderId="59" xfId="0" applyNumberFormat="1" applyFont="1" applyFill="1" applyBorder="1" applyAlignment="1">
      <alignment horizontal="center"/>
    </xf>
    <xf numFmtId="167" fontId="50" fillId="24" borderId="0" xfId="57" applyNumberFormat="1" applyFont="1" applyFill="1" applyBorder="1" applyAlignment="1">
      <alignment vertical="center"/>
    </xf>
    <xf numFmtId="0" fontId="2" fillId="0" borderId="37" xfId="0" applyFont="1" applyBorder="1"/>
    <xf numFmtId="0" fontId="2" fillId="0" borderId="33" xfId="0" applyFont="1" applyBorder="1" applyAlignment="1">
      <alignment wrapText="1"/>
    </xf>
    <xf numFmtId="6" fontId="38" fillId="0" borderId="0" xfId="0" applyNumberFormat="1" applyFont="1" applyAlignment="1">
      <alignment horizontal="left"/>
    </xf>
    <xf numFmtId="167" fontId="50" fillId="0" borderId="0" xfId="57" applyNumberFormat="1" applyFont="1" applyFill="1" applyBorder="1" applyAlignment="1">
      <alignment vertical="center"/>
    </xf>
    <xf numFmtId="1" fontId="37" fillId="26" borderId="0" xfId="0" applyNumberFormat="1" applyFont="1" applyFill="1" applyBorder="1" applyAlignment="1">
      <alignment horizontal="right"/>
    </xf>
    <xf numFmtId="1" fontId="37" fillId="26" borderId="0" xfId="0" applyNumberFormat="1" applyFont="1" applyFill="1" applyBorder="1"/>
    <xf numFmtId="167" fontId="39" fillId="0" borderId="0" xfId="57" applyNumberFormat="1" applyFont="1" applyFill="1" applyBorder="1" applyAlignment="1">
      <alignment vertical="center"/>
    </xf>
    <xf numFmtId="164" fontId="62" fillId="0" borderId="27" xfId="37" applyNumberFormat="1" applyFont="1" applyBorder="1"/>
    <xf numFmtId="0" fontId="89" fillId="0" borderId="0" xfId="0" applyFont="1" applyBorder="1"/>
    <xf numFmtId="0" fontId="89" fillId="0" borderId="28" xfId="0" applyFont="1" applyBorder="1"/>
    <xf numFmtId="10" fontId="90" fillId="0" borderId="0" xfId="0" applyNumberFormat="1" applyFont="1" applyFill="1" applyBorder="1" applyAlignment="1">
      <alignment horizontal="center" vertical="center"/>
    </xf>
    <xf numFmtId="10" fontId="37" fillId="0" borderId="0" xfId="0" applyNumberFormat="1" applyFont="1" applyBorder="1" applyAlignment="1">
      <alignment horizontal="center" vertical="center"/>
    </xf>
    <xf numFmtId="167" fontId="35" fillId="0" borderId="0" xfId="57" applyNumberFormat="1" applyFont="1" applyFill="1" applyBorder="1" applyAlignment="1">
      <alignment vertical="center"/>
    </xf>
    <xf numFmtId="167" fontId="35" fillId="0" borderId="0" xfId="0" applyNumberFormat="1" applyFont="1" applyFill="1" applyBorder="1" applyAlignment="1">
      <alignment vertical="top"/>
    </xf>
    <xf numFmtId="0" fontId="49" fillId="0" borderId="0" xfId="0" applyFont="1" applyBorder="1" applyAlignment="1">
      <alignment vertical="top" wrapText="1"/>
    </xf>
    <xf numFmtId="0" fontId="35" fillId="0" borderId="74" xfId="0" applyFont="1" applyBorder="1" applyAlignment="1">
      <alignment vertical="center"/>
    </xf>
    <xf numFmtId="164" fontId="55" fillId="0" borderId="74" xfId="55" applyNumberFormat="1" applyFont="1" applyBorder="1" applyAlignment="1">
      <alignment vertical="center"/>
    </xf>
    <xf numFmtId="0" fontId="34" fillId="0" borderId="74" xfId="0" applyFont="1" applyBorder="1" applyAlignment="1">
      <alignment vertical="center"/>
    </xf>
    <xf numFmtId="167" fontId="54" fillId="0" borderId="75" xfId="57" applyNumberFormat="1" applyFont="1" applyBorder="1" applyAlignment="1">
      <alignment vertical="center"/>
    </xf>
    <xf numFmtId="8" fontId="38" fillId="0" borderId="0" xfId="0" applyNumberFormat="1" applyFont="1" applyAlignment="1">
      <alignment horizontal="left"/>
    </xf>
    <xf numFmtId="164" fontId="34" fillId="0" borderId="0" xfId="37" applyNumberFormat="1" applyFont="1" applyFill="1" applyBorder="1" applyAlignment="1">
      <alignment vertical="center"/>
    </xf>
    <xf numFmtId="167" fontId="50" fillId="0" borderId="0" xfId="57" applyNumberFormat="1" applyFont="1" applyFill="1" applyAlignment="1">
      <alignment vertical="center"/>
    </xf>
    <xf numFmtId="167" fontId="51" fillId="0" borderId="0" xfId="57" applyNumberFormat="1" applyFont="1" applyFill="1" applyAlignment="1">
      <alignment vertical="center"/>
    </xf>
    <xf numFmtId="10" fontId="34" fillId="0" borderId="0" xfId="37" applyNumberFormat="1" applyFont="1" applyFill="1" applyBorder="1" applyAlignment="1">
      <alignment horizontal="center" vertical="center"/>
    </xf>
    <xf numFmtId="167" fontId="51" fillId="0" borderId="0" xfId="0" applyNumberFormat="1" applyFont="1" applyFill="1" applyAlignment="1">
      <alignment vertical="center"/>
    </xf>
    <xf numFmtId="164" fontId="46" fillId="0" borderId="0" xfId="37" applyNumberFormat="1" applyFont="1" applyFill="1" applyBorder="1" applyAlignment="1">
      <alignment vertical="center"/>
    </xf>
    <xf numFmtId="166" fontId="47" fillId="26" borderId="18" xfId="58" applyNumberFormat="1" applyFont="1" applyFill="1" applyBorder="1" applyAlignment="1">
      <alignment horizontal="center" vertical="center"/>
    </xf>
    <xf numFmtId="0" fontId="49" fillId="0" borderId="0" xfId="0" applyFont="1" applyAlignment="1">
      <alignment vertical="center" wrapText="1"/>
    </xf>
    <xf numFmtId="10" fontId="38" fillId="0" borderId="0" xfId="0" applyNumberFormat="1" applyFont="1" applyFill="1" applyBorder="1" applyAlignment="1">
      <alignment horizontal="center" vertical="center" wrapText="1"/>
    </xf>
    <xf numFmtId="0" fontId="92" fillId="0" borderId="0" xfId="55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168" fontId="34" fillId="0" borderId="0" xfId="0" applyNumberFormat="1" applyFont="1" applyAlignment="1">
      <alignment horizontal="center" vertical="center"/>
    </xf>
    <xf numFmtId="0" fontId="86" fillId="0" borderId="33" xfId="0" applyFont="1" applyBorder="1"/>
    <xf numFmtId="0" fontId="1" fillId="0" borderId="37" xfId="0" applyFont="1" applyBorder="1"/>
    <xf numFmtId="0" fontId="1" fillId="0" borderId="33" xfId="0" applyFont="1" applyBorder="1"/>
    <xf numFmtId="0" fontId="93" fillId="0" borderId="33" xfId="0" applyFont="1" applyBorder="1"/>
    <xf numFmtId="0" fontId="30" fillId="0" borderId="76" xfId="0" applyFont="1" applyFill="1" applyBorder="1"/>
    <xf numFmtId="8" fontId="0" fillId="0" borderId="77" xfId="0" applyNumberFormat="1" applyFill="1" applyBorder="1" applyAlignment="1">
      <alignment horizontal="right"/>
    </xf>
    <xf numFmtId="43" fontId="35" fillId="0" borderId="0" xfId="0" applyNumberFormat="1" applyFont="1" applyBorder="1" applyAlignment="1">
      <alignment horizontal="center" vertical="center"/>
    </xf>
    <xf numFmtId="168" fontId="34" fillId="0" borderId="0" xfId="0" applyNumberFormat="1" applyFont="1" applyBorder="1" applyAlignment="1">
      <alignment horizontal="center" vertical="center"/>
    </xf>
    <xf numFmtId="9" fontId="35" fillId="0" borderId="0" xfId="58" applyFont="1" applyBorder="1" applyAlignment="1">
      <alignment horizontal="center" vertical="center"/>
    </xf>
    <xf numFmtId="168" fontId="35" fillId="0" borderId="0" xfId="0" applyNumberFormat="1" applyFont="1" applyBorder="1" applyAlignment="1">
      <alignment horizontal="center" vertical="center"/>
    </xf>
    <xf numFmtId="0" fontId="88" fillId="0" borderId="0" xfId="0" applyFont="1"/>
    <xf numFmtId="0" fontId="34" fillId="0" borderId="0" xfId="58" applyNumberFormat="1" applyFont="1" applyBorder="1" applyAlignment="1">
      <alignment horizontal="center" vertical="center"/>
    </xf>
    <xf numFmtId="168" fontId="94" fillId="0" borderId="0" xfId="0" applyNumberFormat="1" applyFont="1" applyAlignment="1">
      <alignment horizontal="center" vertical="center"/>
    </xf>
    <xf numFmtId="0" fontId="95" fillId="0" borderId="0" xfId="0" applyFont="1"/>
    <xf numFmtId="0" fontId="5" fillId="0" borderId="57" xfId="0" applyFont="1" applyBorder="1" applyAlignment="1">
      <alignment horizontal="left" wrapText="1"/>
    </xf>
    <xf numFmtId="0" fontId="5" fillId="0" borderId="58" xfId="0" applyFont="1" applyBorder="1" applyAlignment="1">
      <alignment horizontal="left" wrapText="1"/>
    </xf>
    <xf numFmtId="0" fontId="76" fillId="30" borderId="50" xfId="0" applyFont="1" applyFill="1" applyBorder="1" applyAlignment="1">
      <alignment horizontal="center"/>
    </xf>
    <xf numFmtId="0" fontId="76" fillId="30" borderId="51" xfId="0" applyFont="1" applyFill="1" applyBorder="1" applyAlignment="1">
      <alignment horizontal="center"/>
    </xf>
    <xf numFmtId="0" fontId="76" fillId="30" borderId="52" xfId="0" applyFont="1" applyFill="1" applyBorder="1" applyAlignment="1">
      <alignment horizontal="center"/>
    </xf>
    <xf numFmtId="0" fontId="76" fillId="30" borderId="43" xfId="0" applyFont="1" applyFill="1" applyBorder="1" applyAlignment="1">
      <alignment horizontal="center"/>
    </xf>
    <xf numFmtId="0" fontId="76" fillId="30" borderId="44" xfId="0" applyFont="1" applyFill="1" applyBorder="1" applyAlignment="1">
      <alignment horizontal="center"/>
    </xf>
    <xf numFmtId="0" fontId="76" fillId="30" borderId="45" xfId="0" applyFont="1" applyFill="1" applyBorder="1" applyAlignment="1">
      <alignment horizontal="center"/>
    </xf>
    <xf numFmtId="0" fontId="76" fillId="30" borderId="56" xfId="0" applyFont="1" applyFill="1" applyBorder="1" applyAlignment="1">
      <alignment horizontal="center"/>
    </xf>
    <xf numFmtId="0" fontId="35" fillId="0" borderId="34" xfId="0" applyFont="1" applyBorder="1" applyAlignment="1">
      <alignment horizontal="left"/>
    </xf>
    <xf numFmtId="0" fontId="35" fillId="0" borderId="36" xfId="0" applyFont="1" applyBorder="1" applyAlignment="1">
      <alignment horizontal="left"/>
    </xf>
    <xf numFmtId="0" fontId="35" fillId="0" borderId="35" xfId="0" applyFont="1" applyBorder="1" applyAlignment="1">
      <alignment horizontal="left"/>
    </xf>
    <xf numFmtId="0" fontId="1" fillId="0" borderId="57" xfId="0" applyFont="1" applyBorder="1" applyAlignment="1">
      <alignment horizontal="left" wrapText="1"/>
    </xf>
    <xf numFmtId="0" fontId="1" fillId="0" borderId="58" xfId="0" applyFont="1" applyBorder="1" applyAlignment="1">
      <alignment horizontal="left" wrapText="1"/>
    </xf>
    <xf numFmtId="0" fontId="76" fillId="30" borderId="54" xfId="0" applyFont="1" applyFill="1" applyBorder="1" applyAlignment="1">
      <alignment horizontal="center"/>
    </xf>
    <xf numFmtId="8" fontId="34" fillId="0" borderId="0" xfId="0" applyNumberFormat="1" applyFont="1" applyAlignment="1">
      <alignment horizontal="center" wrapText="1"/>
    </xf>
    <xf numFmtId="0" fontId="77" fillId="0" borderId="0" xfId="0" applyFont="1" applyAlignment="1">
      <alignment horizontal="center" vertical="center"/>
    </xf>
    <xf numFmtId="0" fontId="76" fillId="0" borderId="33" xfId="0" applyFont="1" applyBorder="1" applyAlignment="1">
      <alignment horizontal="center" vertical="center" wrapText="1"/>
    </xf>
    <xf numFmtId="0" fontId="60" fillId="0" borderId="57" xfId="0" applyFont="1" applyBorder="1" applyAlignment="1">
      <alignment horizontal="center" vertical="center" wrapText="1"/>
    </xf>
    <xf numFmtId="0" fontId="60" fillId="0" borderId="58" xfId="0" applyFont="1" applyBorder="1" applyAlignment="1">
      <alignment horizontal="center" vertical="center" wrapText="1"/>
    </xf>
    <xf numFmtId="0" fontId="81" fillId="31" borderId="57" xfId="0" applyFont="1" applyFill="1" applyBorder="1" applyAlignment="1">
      <alignment horizontal="center" vertical="center" wrapText="1"/>
    </xf>
    <xf numFmtId="0" fontId="81" fillId="31" borderId="58" xfId="0" applyFont="1" applyFill="1" applyBorder="1" applyAlignment="1">
      <alignment horizontal="center" vertical="center" wrapText="1"/>
    </xf>
    <xf numFmtId="0" fontId="76" fillId="0" borderId="57" xfId="0" applyFont="1" applyBorder="1" applyAlignment="1">
      <alignment horizontal="center" vertical="center" wrapText="1"/>
    </xf>
    <xf numFmtId="0" fontId="76" fillId="0" borderId="58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59" fillId="0" borderId="14" xfId="0" applyFont="1" applyBorder="1" applyAlignment="1">
      <alignment horizontal="center" vertical="center"/>
    </xf>
    <xf numFmtId="0" fontId="0" fillId="0" borderId="13" xfId="0" applyBorder="1" applyAlignment="1"/>
    <xf numFmtId="0" fontId="0" fillId="0" borderId="12" xfId="0" applyBorder="1" applyAlignment="1"/>
    <xf numFmtId="0" fontId="91" fillId="0" borderId="73" xfId="55" applyFont="1" applyBorder="1" applyAlignment="1">
      <alignment horizontal="center" vertical="center" wrapText="1"/>
    </xf>
    <xf numFmtId="0" fontId="91" fillId="0" borderId="74" xfId="55" applyFont="1" applyBorder="1" applyAlignment="1">
      <alignment horizontal="center" vertical="center" wrapText="1"/>
    </xf>
    <xf numFmtId="0" fontId="38" fillId="27" borderId="14" xfId="0" applyFont="1" applyFill="1" applyBorder="1" applyAlignment="1">
      <alignment horizontal="center" vertical="center"/>
    </xf>
    <xf numFmtId="0" fontId="69" fillId="27" borderId="14" xfId="0" applyFont="1" applyFill="1" applyBorder="1" applyAlignment="1">
      <alignment horizontal="center" vertical="center"/>
    </xf>
    <xf numFmtId="0" fontId="59" fillId="0" borderId="15" xfId="0" applyFont="1" applyFill="1" applyBorder="1" applyAlignment="1">
      <alignment horizontal="center" vertical="center"/>
    </xf>
    <xf numFmtId="0" fontId="65" fillId="0" borderId="17" xfId="0" applyFont="1" applyBorder="1" applyAlignment="1">
      <alignment horizontal="center" vertical="center"/>
    </xf>
    <xf numFmtId="0" fontId="56" fillId="0" borderId="0" xfId="0" applyFont="1" applyFill="1" applyAlignment="1">
      <alignment horizontal="left" vertical="center" wrapText="1"/>
    </xf>
    <xf numFmtId="0" fontId="42" fillId="0" borderId="0" xfId="55" applyFont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49" fillId="0" borderId="0" xfId="55" applyFont="1" applyAlignment="1">
      <alignment horizontal="center" vertical="center" wrapText="1"/>
    </xf>
    <xf numFmtId="0" fontId="49" fillId="0" borderId="0" xfId="0" applyFont="1" applyAlignment="1">
      <alignment vertical="center" wrapText="1"/>
    </xf>
    <xf numFmtId="10" fontId="38" fillId="0" borderId="0" xfId="0" applyNumberFormat="1" applyFont="1" applyFill="1" applyBorder="1" applyAlignment="1">
      <alignment horizontal="center" vertical="center" wrapText="1"/>
    </xf>
    <xf numFmtId="0" fontId="61" fillId="0" borderId="66" xfId="55" applyFont="1" applyBorder="1" applyAlignment="1">
      <alignment horizontal="center" vertical="center"/>
    </xf>
    <xf numFmtId="0" fontId="61" fillId="0" borderId="67" xfId="55" applyFont="1" applyBorder="1" applyAlignment="1">
      <alignment horizontal="center" vertical="center"/>
    </xf>
    <xf numFmtId="0" fontId="61" fillId="0" borderId="68" xfId="55" applyFont="1" applyBorder="1" applyAlignment="1">
      <alignment horizontal="center" vertical="center"/>
    </xf>
    <xf numFmtId="0" fontId="41" fillId="0" borderId="21" xfId="0" applyFont="1" applyBorder="1" applyAlignment="1">
      <alignment vertical="center" wrapText="1"/>
    </xf>
    <xf numFmtId="0" fontId="66" fillId="0" borderId="22" xfId="0" applyFont="1" applyBorder="1" applyAlignment="1">
      <alignment vertical="center"/>
    </xf>
    <xf numFmtId="0" fontId="66" fillId="0" borderId="23" xfId="0" applyFont="1" applyBorder="1" applyAlignment="1">
      <alignment vertical="center"/>
    </xf>
    <xf numFmtId="0" fontId="3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4" fillId="0" borderId="1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7" fillId="26" borderId="20" xfId="0" applyFont="1" applyFill="1" applyBorder="1" applyAlignment="1" applyProtection="1">
      <alignment horizontal="center" vertical="center"/>
      <protection locked="0"/>
    </xf>
    <xf numFmtId="0" fontId="67" fillId="26" borderId="19" xfId="0" applyFont="1" applyFill="1" applyBorder="1" applyAlignment="1" applyProtection="1">
      <alignment horizontal="center" vertical="center"/>
      <protection locked="0"/>
    </xf>
    <xf numFmtId="0" fontId="47" fillId="0" borderId="20" xfId="0" applyFont="1" applyBorder="1" applyAlignment="1">
      <alignment horizontal="center" vertical="center"/>
    </xf>
    <xf numFmtId="0" fontId="67" fillId="0" borderId="19" xfId="0" applyFont="1" applyBorder="1" applyAlignment="1">
      <alignment vertical="center"/>
    </xf>
    <xf numFmtId="0" fontId="79" fillId="0" borderId="0" xfId="0" applyFont="1" applyAlignment="1">
      <alignment horizontal="left" vertical="center"/>
    </xf>
    <xf numFmtId="0" fontId="59" fillId="0" borderId="16" xfId="0" applyFont="1" applyBorder="1" applyAlignment="1">
      <alignment horizontal="center"/>
    </xf>
    <xf numFmtId="0" fontId="59" fillId="0" borderId="29" xfId="0" applyFont="1" applyBorder="1" applyAlignment="1">
      <alignment horizontal="center"/>
    </xf>
    <xf numFmtId="0" fontId="42" fillId="0" borderId="0" xfId="55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38" fillId="0" borderId="0" xfId="55" applyFont="1" applyBorder="1" applyAlignment="1">
      <alignment horizontal="center" vertical="center" wrapText="1"/>
    </xf>
    <xf numFmtId="0" fontId="38" fillId="0" borderId="0" xfId="0" applyFont="1" applyBorder="1" applyAlignment="1">
      <alignment vertical="center" wrapText="1"/>
    </xf>
    <xf numFmtId="0" fontId="38" fillId="27" borderId="0" xfId="0" applyFont="1" applyFill="1" applyBorder="1" applyAlignment="1">
      <alignment horizontal="center" vertical="center"/>
    </xf>
    <xf numFmtId="0" fontId="68" fillId="27" borderId="0" xfId="0" applyFont="1" applyFill="1" applyBorder="1" applyAlignment="1">
      <alignment horizontal="center" vertical="center"/>
    </xf>
    <xf numFmtId="0" fontId="59" fillId="0" borderId="34" xfId="0" applyFont="1" applyBorder="1" applyAlignment="1">
      <alignment horizontal="center"/>
    </xf>
    <xf numFmtId="0" fontId="59" fillId="0" borderId="36" xfId="0" applyFont="1" applyBorder="1" applyAlignment="1">
      <alignment horizontal="center"/>
    </xf>
    <xf numFmtId="0" fontId="59" fillId="0" borderId="38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61" fillId="0" borderId="33" xfId="55" applyFont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38" fillId="0" borderId="65" xfId="0" applyFont="1" applyFill="1" applyBorder="1" applyAlignment="1">
      <alignment horizontal="center" vertical="center" wrapText="1"/>
    </xf>
    <xf numFmtId="0" fontId="61" fillId="0" borderId="69" xfId="37" applyFont="1" applyBorder="1" applyAlignment="1">
      <alignment horizontal="center"/>
    </xf>
    <xf numFmtId="0" fontId="61" fillId="0" borderId="70" xfId="37" applyFont="1" applyBorder="1" applyAlignment="1">
      <alignment horizontal="center"/>
    </xf>
    <xf numFmtId="0" fontId="61" fillId="0" borderId="63" xfId="37" applyFont="1" applyBorder="1" applyAlignment="1">
      <alignment horizontal="center"/>
    </xf>
    <xf numFmtId="0" fontId="42" fillId="0" borderId="65" xfId="55" applyFont="1" applyBorder="1" applyAlignment="1">
      <alignment horizontal="center" vertical="center" wrapText="1"/>
    </xf>
    <xf numFmtId="0" fontId="38" fillId="27" borderId="0" xfId="0" applyFont="1" applyFill="1" applyBorder="1" applyAlignment="1">
      <alignment horizontal="right" vertical="center"/>
    </xf>
    <xf numFmtId="0" fontId="68" fillId="27" borderId="0" xfId="0" applyFont="1" applyFill="1" applyBorder="1" applyAlignment="1">
      <alignment horizontal="right" vertical="center"/>
    </xf>
    <xf numFmtId="0" fontId="61" fillId="0" borderId="37" xfId="37" applyFont="1" applyBorder="1" applyAlignment="1">
      <alignment horizontal="center" vertical="center"/>
    </xf>
    <xf numFmtId="0" fontId="61" fillId="0" borderId="33" xfId="37" applyFont="1" applyBorder="1" applyAlignment="1">
      <alignment horizontal="center" vertical="center"/>
    </xf>
    <xf numFmtId="0" fontId="61" fillId="0" borderId="71" xfId="37" applyFont="1" applyBorder="1" applyAlignment="1">
      <alignment horizontal="center" vertical="center"/>
    </xf>
    <xf numFmtId="0" fontId="61" fillId="0" borderId="36" xfId="37" applyFont="1" applyBorder="1" applyAlignment="1">
      <alignment horizontal="center" vertical="center"/>
    </xf>
    <xf numFmtId="0" fontId="61" fillId="0" borderId="35" xfId="37" applyFont="1" applyBorder="1" applyAlignment="1">
      <alignment horizontal="center" vertical="center"/>
    </xf>
    <xf numFmtId="0" fontId="42" fillId="0" borderId="27" xfId="55" applyFont="1" applyBorder="1" applyAlignment="1">
      <alignment horizontal="center" vertical="center" wrapText="1"/>
    </xf>
    <xf numFmtId="0" fontId="42" fillId="0" borderId="27" xfId="0" applyFont="1" applyBorder="1" applyAlignment="1">
      <alignment vertical="center" wrapText="1"/>
    </xf>
    <xf numFmtId="0" fontId="59" fillId="24" borderId="34" xfId="0" applyFont="1" applyFill="1" applyBorder="1" applyAlignment="1">
      <alignment horizontal="center"/>
    </xf>
    <xf numFmtId="0" fontId="59" fillId="24" borderId="36" xfId="0" applyFont="1" applyFill="1" applyBorder="1" applyAlignment="1">
      <alignment horizontal="center"/>
    </xf>
    <xf numFmtId="0" fontId="59" fillId="24" borderId="38" xfId="0" applyFont="1" applyFill="1" applyBorder="1" applyAlignment="1">
      <alignment horizontal="center"/>
    </xf>
    <xf numFmtId="0" fontId="59" fillId="0" borderId="0" xfId="0" applyFont="1" applyAlignment="1">
      <alignment horizontal="left" vertical="center"/>
    </xf>
    <xf numFmtId="0" fontId="71" fillId="0" borderId="0" xfId="0" applyFont="1" applyAlignment="1">
      <alignment horizontal="left" vertical="center"/>
    </xf>
    <xf numFmtId="0" fontId="59" fillId="0" borderId="53" xfId="0" applyFont="1" applyBorder="1" applyAlignment="1">
      <alignment horizontal="center"/>
    </xf>
    <xf numFmtId="0" fontId="59" fillId="0" borderId="35" xfId="0" applyFont="1" applyBorder="1" applyAlignment="1">
      <alignment horizontal="center"/>
    </xf>
  </cellXfs>
  <cellStyles count="60">
    <cellStyle name="20% - Accent1" xfId="1" builtinId="30" customBuiltin="1"/>
    <cellStyle name="20% - Accent1 2" xfId="43" xr:uid="{00000000-0005-0000-0000-000001000000}"/>
    <cellStyle name="20% - Accent2" xfId="2" builtinId="34" customBuiltin="1"/>
    <cellStyle name="20% - Accent2 2" xfId="44" xr:uid="{00000000-0005-0000-0000-000003000000}"/>
    <cellStyle name="20% - Accent3" xfId="3" builtinId="38" customBuiltin="1"/>
    <cellStyle name="20% - Accent3 2" xfId="45" xr:uid="{00000000-0005-0000-0000-000005000000}"/>
    <cellStyle name="20% - Accent4" xfId="4" builtinId="42" customBuiltin="1"/>
    <cellStyle name="20% - Accent4 2" xfId="46" xr:uid="{00000000-0005-0000-0000-000007000000}"/>
    <cellStyle name="20% - Accent5" xfId="5" builtinId="46" customBuiltin="1"/>
    <cellStyle name="20% - Accent5 2" xfId="47" xr:uid="{00000000-0005-0000-0000-000009000000}"/>
    <cellStyle name="20% - Accent6" xfId="6" builtinId="50" customBuiltin="1"/>
    <cellStyle name="20% - Accent6 2" xfId="48" xr:uid="{00000000-0005-0000-0000-00000B000000}"/>
    <cellStyle name="40% - Accent1" xfId="7" builtinId="31" customBuiltin="1"/>
    <cellStyle name="40% - Accent1 2" xfId="49" xr:uid="{00000000-0005-0000-0000-00000D000000}"/>
    <cellStyle name="40% - Accent2" xfId="8" builtinId="35" customBuiltin="1"/>
    <cellStyle name="40% - Accent2 2" xfId="50" xr:uid="{00000000-0005-0000-0000-00000F000000}"/>
    <cellStyle name="40% - Accent3" xfId="9" builtinId="39" customBuiltin="1"/>
    <cellStyle name="40% - Accent3 2" xfId="51" xr:uid="{00000000-0005-0000-0000-000011000000}"/>
    <cellStyle name="40% - Accent4" xfId="10" builtinId="43" customBuiltin="1"/>
    <cellStyle name="40% - Accent4 2" xfId="52" xr:uid="{00000000-0005-0000-0000-000013000000}"/>
    <cellStyle name="40% - Accent5" xfId="11" builtinId="47" customBuiltin="1"/>
    <cellStyle name="40% - Accent5 2" xfId="53" xr:uid="{00000000-0005-0000-0000-000015000000}"/>
    <cellStyle name="40% - Accent6" xfId="12" builtinId="51" customBuiltin="1"/>
    <cellStyle name="40% - Accent6 2" xfId="54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5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9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 xr:uid="{00000000-0005-0000-0000-000033000000}"/>
    <cellStyle name="Normal_Sheet1 2" xfId="55" xr:uid="{00000000-0005-0000-0000-000034000000}"/>
    <cellStyle name="Note" xfId="38" builtinId="10" customBuiltin="1"/>
    <cellStyle name="Note 2" xfId="56" xr:uid="{00000000-0005-0000-0000-000036000000}"/>
    <cellStyle name="Output" xfId="39" builtinId="21" customBuiltin="1"/>
    <cellStyle name="Percent" xfId="58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FFFFCC"/>
      <color rgb="FFEAE7DA"/>
      <color rgb="FFCCFFFF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%22%3C----------%20to%20%22@October%20----------%3E" TargetMode="External"/><Relationship Id="rId1" Type="http://schemas.openxmlformats.org/officeDocument/2006/relationships/hyperlink" Target="mailto:%22%3C----------%20to%20%22@October%20----------%3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X494"/>
  <sheetViews>
    <sheetView showGridLines="0" view="pageBreakPreview" zoomScale="60" zoomScaleNormal="80" workbookViewId="0">
      <selection activeCell="H3" sqref="H3:H4"/>
    </sheetView>
  </sheetViews>
  <sheetFormatPr defaultRowHeight="13.2" x14ac:dyDescent="0.25"/>
  <cols>
    <col min="1" max="1" width="33.33203125" customWidth="1"/>
    <col min="2" max="2" width="24.44140625" customWidth="1"/>
    <col min="3" max="4" width="20.6640625" customWidth="1"/>
    <col min="5" max="5" width="25.33203125" customWidth="1"/>
    <col min="6" max="6" width="20.6640625" customWidth="1"/>
    <col min="7" max="7" width="21.6640625" customWidth="1"/>
    <col min="8" max="8" width="26.33203125" customWidth="1"/>
    <col min="9" max="9" width="21.5546875" customWidth="1"/>
    <col min="10" max="15" width="15.6640625" customWidth="1"/>
    <col min="17" max="17" width="11.44140625" bestFit="1" customWidth="1"/>
    <col min="256" max="256" width="46" customWidth="1"/>
    <col min="257" max="257" width="22.88671875" customWidth="1"/>
    <col min="258" max="262" width="20.6640625" customWidth="1"/>
    <col min="263" max="263" width="15.6640625" customWidth="1"/>
    <col min="264" max="264" width="12.33203125" customWidth="1"/>
    <col min="265" max="265" width="29.33203125" customWidth="1"/>
    <col min="266" max="271" width="15.6640625" customWidth="1"/>
    <col min="273" max="273" width="11.44140625" bestFit="1" customWidth="1"/>
    <col min="512" max="512" width="46" customWidth="1"/>
    <col min="513" max="513" width="22.88671875" customWidth="1"/>
    <col min="514" max="518" width="20.6640625" customWidth="1"/>
    <col min="519" max="519" width="15.6640625" customWidth="1"/>
    <col min="520" max="520" width="12.33203125" customWidth="1"/>
    <col min="521" max="521" width="29.33203125" customWidth="1"/>
    <col min="522" max="527" width="15.6640625" customWidth="1"/>
    <col min="529" max="529" width="11.44140625" bestFit="1" customWidth="1"/>
    <col min="768" max="768" width="46" customWidth="1"/>
    <col min="769" max="769" width="22.88671875" customWidth="1"/>
    <col min="770" max="774" width="20.6640625" customWidth="1"/>
    <col min="775" max="775" width="15.6640625" customWidth="1"/>
    <col min="776" max="776" width="12.33203125" customWidth="1"/>
    <col min="777" max="777" width="29.33203125" customWidth="1"/>
    <col min="778" max="783" width="15.6640625" customWidth="1"/>
    <col min="785" max="785" width="11.44140625" bestFit="1" customWidth="1"/>
    <col min="1024" max="1024" width="46" customWidth="1"/>
    <col min="1025" max="1025" width="22.88671875" customWidth="1"/>
    <col min="1026" max="1030" width="20.6640625" customWidth="1"/>
    <col min="1031" max="1031" width="15.6640625" customWidth="1"/>
    <col min="1032" max="1032" width="12.33203125" customWidth="1"/>
    <col min="1033" max="1033" width="29.33203125" customWidth="1"/>
    <col min="1034" max="1039" width="15.6640625" customWidth="1"/>
    <col min="1041" max="1041" width="11.44140625" bestFit="1" customWidth="1"/>
    <col min="1280" max="1280" width="46" customWidth="1"/>
    <col min="1281" max="1281" width="22.88671875" customWidth="1"/>
    <col min="1282" max="1286" width="20.6640625" customWidth="1"/>
    <col min="1287" max="1287" width="15.6640625" customWidth="1"/>
    <col min="1288" max="1288" width="12.33203125" customWidth="1"/>
    <col min="1289" max="1289" width="29.33203125" customWidth="1"/>
    <col min="1290" max="1295" width="15.6640625" customWidth="1"/>
    <col min="1297" max="1297" width="11.44140625" bestFit="1" customWidth="1"/>
    <col min="1536" max="1536" width="46" customWidth="1"/>
    <col min="1537" max="1537" width="22.88671875" customWidth="1"/>
    <col min="1538" max="1542" width="20.6640625" customWidth="1"/>
    <col min="1543" max="1543" width="15.6640625" customWidth="1"/>
    <col min="1544" max="1544" width="12.33203125" customWidth="1"/>
    <col min="1545" max="1545" width="29.33203125" customWidth="1"/>
    <col min="1546" max="1551" width="15.6640625" customWidth="1"/>
    <col min="1553" max="1553" width="11.44140625" bestFit="1" customWidth="1"/>
    <col min="1792" max="1792" width="46" customWidth="1"/>
    <col min="1793" max="1793" width="22.88671875" customWidth="1"/>
    <col min="1794" max="1798" width="20.6640625" customWidth="1"/>
    <col min="1799" max="1799" width="15.6640625" customWidth="1"/>
    <col min="1800" max="1800" width="12.33203125" customWidth="1"/>
    <col min="1801" max="1801" width="29.33203125" customWidth="1"/>
    <col min="1802" max="1807" width="15.6640625" customWidth="1"/>
    <col min="1809" max="1809" width="11.44140625" bestFit="1" customWidth="1"/>
    <col min="2048" max="2048" width="46" customWidth="1"/>
    <col min="2049" max="2049" width="22.88671875" customWidth="1"/>
    <col min="2050" max="2054" width="20.6640625" customWidth="1"/>
    <col min="2055" max="2055" width="15.6640625" customWidth="1"/>
    <col min="2056" max="2056" width="12.33203125" customWidth="1"/>
    <col min="2057" max="2057" width="29.33203125" customWidth="1"/>
    <col min="2058" max="2063" width="15.6640625" customWidth="1"/>
    <col min="2065" max="2065" width="11.44140625" bestFit="1" customWidth="1"/>
    <col min="2304" max="2304" width="46" customWidth="1"/>
    <col min="2305" max="2305" width="22.88671875" customWidth="1"/>
    <col min="2306" max="2310" width="20.6640625" customWidth="1"/>
    <col min="2311" max="2311" width="15.6640625" customWidth="1"/>
    <col min="2312" max="2312" width="12.33203125" customWidth="1"/>
    <col min="2313" max="2313" width="29.33203125" customWidth="1"/>
    <col min="2314" max="2319" width="15.6640625" customWidth="1"/>
    <col min="2321" max="2321" width="11.44140625" bestFit="1" customWidth="1"/>
    <col min="2560" max="2560" width="46" customWidth="1"/>
    <col min="2561" max="2561" width="22.88671875" customWidth="1"/>
    <col min="2562" max="2566" width="20.6640625" customWidth="1"/>
    <col min="2567" max="2567" width="15.6640625" customWidth="1"/>
    <col min="2568" max="2568" width="12.33203125" customWidth="1"/>
    <col min="2569" max="2569" width="29.33203125" customWidth="1"/>
    <col min="2570" max="2575" width="15.6640625" customWidth="1"/>
    <col min="2577" max="2577" width="11.44140625" bestFit="1" customWidth="1"/>
    <col min="2816" max="2816" width="46" customWidth="1"/>
    <col min="2817" max="2817" width="22.88671875" customWidth="1"/>
    <col min="2818" max="2822" width="20.6640625" customWidth="1"/>
    <col min="2823" max="2823" width="15.6640625" customWidth="1"/>
    <col min="2824" max="2824" width="12.33203125" customWidth="1"/>
    <col min="2825" max="2825" width="29.33203125" customWidth="1"/>
    <col min="2826" max="2831" width="15.6640625" customWidth="1"/>
    <col min="2833" max="2833" width="11.44140625" bestFit="1" customWidth="1"/>
    <col min="3072" max="3072" width="46" customWidth="1"/>
    <col min="3073" max="3073" width="22.88671875" customWidth="1"/>
    <col min="3074" max="3078" width="20.6640625" customWidth="1"/>
    <col min="3079" max="3079" width="15.6640625" customWidth="1"/>
    <col min="3080" max="3080" width="12.33203125" customWidth="1"/>
    <col min="3081" max="3081" width="29.33203125" customWidth="1"/>
    <col min="3082" max="3087" width="15.6640625" customWidth="1"/>
    <col min="3089" max="3089" width="11.44140625" bestFit="1" customWidth="1"/>
    <col min="3328" max="3328" width="46" customWidth="1"/>
    <col min="3329" max="3329" width="22.88671875" customWidth="1"/>
    <col min="3330" max="3334" width="20.6640625" customWidth="1"/>
    <col min="3335" max="3335" width="15.6640625" customWidth="1"/>
    <col min="3336" max="3336" width="12.33203125" customWidth="1"/>
    <col min="3337" max="3337" width="29.33203125" customWidth="1"/>
    <col min="3338" max="3343" width="15.6640625" customWidth="1"/>
    <col min="3345" max="3345" width="11.44140625" bestFit="1" customWidth="1"/>
    <col min="3584" max="3584" width="46" customWidth="1"/>
    <col min="3585" max="3585" width="22.88671875" customWidth="1"/>
    <col min="3586" max="3590" width="20.6640625" customWidth="1"/>
    <col min="3591" max="3591" width="15.6640625" customWidth="1"/>
    <col min="3592" max="3592" width="12.33203125" customWidth="1"/>
    <col min="3593" max="3593" width="29.33203125" customWidth="1"/>
    <col min="3594" max="3599" width="15.6640625" customWidth="1"/>
    <col min="3601" max="3601" width="11.44140625" bestFit="1" customWidth="1"/>
    <col min="3840" max="3840" width="46" customWidth="1"/>
    <col min="3841" max="3841" width="22.88671875" customWidth="1"/>
    <col min="3842" max="3846" width="20.6640625" customWidth="1"/>
    <col min="3847" max="3847" width="15.6640625" customWidth="1"/>
    <col min="3848" max="3848" width="12.33203125" customWidth="1"/>
    <col min="3849" max="3849" width="29.33203125" customWidth="1"/>
    <col min="3850" max="3855" width="15.6640625" customWidth="1"/>
    <col min="3857" max="3857" width="11.44140625" bestFit="1" customWidth="1"/>
    <col min="4096" max="4096" width="46" customWidth="1"/>
    <col min="4097" max="4097" width="22.88671875" customWidth="1"/>
    <col min="4098" max="4102" width="20.6640625" customWidth="1"/>
    <col min="4103" max="4103" width="15.6640625" customWidth="1"/>
    <col min="4104" max="4104" width="12.33203125" customWidth="1"/>
    <col min="4105" max="4105" width="29.33203125" customWidth="1"/>
    <col min="4106" max="4111" width="15.6640625" customWidth="1"/>
    <col min="4113" max="4113" width="11.44140625" bestFit="1" customWidth="1"/>
    <col min="4352" max="4352" width="46" customWidth="1"/>
    <col min="4353" max="4353" width="22.88671875" customWidth="1"/>
    <col min="4354" max="4358" width="20.6640625" customWidth="1"/>
    <col min="4359" max="4359" width="15.6640625" customWidth="1"/>
    <col min="4360" max="4360" width="12.33203125" customWidth="1"/>
    <col min="4361" max="4361" width="29.33203125" customWidth="1"/>
    <col min="4362" max="4367" width="15.6640625" customWidth="1"/>
    <col min="4369" max="4369" width="11.44140625" bestFit="1" customWidth="1"/>
    <col min="4608" max="4608" width="46" customWidth="1"/>
    <col min="4609" max="4609" width="22.88671875" customWidth="1"/>
    <col min="4610" max="4614" width="20.6640625" customWidth="1"/>
    <col min="4615" max="4615" width="15.6640625" customWidth="1"/>
    <col min="4616" max="4616" width="12.33203125" customWidth="1"/>
    <col min="4617" max="4617" width="29.33203125" customWidth="1"/>
    <col min="4618" max="4623" width="15.6640625" customWidth="1"/>
    <col min="4625" max="4625" width="11.44140625" bestFit="1" customWidth="1"/>
    <col min="4864" max="4864" width="46" customWidth="1"/>
    <col min="4865" max="4865" width="22.88671875" customWidth="1"/>
    <col min="4866" max="4870" width="20.6640625" customWidth="1"/>
    <col min="4871" max="4871" width="15.6640625" customWidth="1"/>
    <col min="4872" max="4872" width="12.33203125" customWidth="1"/>
    <col min="4873" max="4873" width="29.33203125" customWidth="1"/>
    <col min="4874" max="4879" width="15.6640625" customWidth="1"/>
    <col min="4881" max="4881" width="11.44140625" bestFit="1" customWidth="1"/>
    <col min="5120" max="5120" width="46" customWidth="1"/>
    <col min="5121" max="5121" width="22.88671875" customWidth="1"/>
    <col min="5122" max="5126" width="20.6640625" customWidth="1"/>
    <col min="5127" max="5127" width="15.6640625" customWidth="1"/>
    <col min="5128" max="5128" width="12.33203125" customWidth="1"/>
    <col min="5129" max="5129" width="29.33203125" customWidth="1"/>
    <col min="5130" max="5135" width="15.6640625" customWidth="1"/>
    <col min="5137" max="5137" width="11.44140625" bestFit="1" customWidth="1"/>
    <col min="5376" max="5376" width="46" customWidth="1"/>
    <col min="5377" max="5377" width="22.88671875" customWidth="1"/>
    <col min="5378" max="5382" width="20.6640625" customWidth="1"/>
    <col min="5383" max="5383" width="15.6640625" customWidth="1"/>
    <col min="5384" max="5384" width="12.33203125" customWidth="1"/>
    <col min="5385" max="5385" width="29.33203125" customWidth="1"/>
    <col min="5386" max="5391" width="15.6640625" customWidth="1"/>
    <col min="5393" max="5393" width="11.44140625" bestFit="1" customWidth="1"/>
    <col min="5632" max="5632" width="46" customWidth="1"/>
    <col min="5633" max="5633" width="22.88671875" customWidth="1"/>
    <col min="5634" max="5638" width="20.6640625" customWidth="1"/>
    <col min="5639" max="5639" width="15.6640625" customWidth="1"/>
    <col min="5640" max="5640" width="12.33203125" customWidth="1"/>
    <col min="5641" max="5641" width="29.33203125" customWidth="1"/>
    <col min="5642" max="5647" width="15.6640625" customWidth="1"/>
    <col min="5649" max="5649" width="11.44140625" bestFit="1" customWidth="1"/>
    <col min="5888" max="5888" width="46" customWidth="1"/>
    <col min="5889" max="5889" width="22.88671875" customWidth="1"/>
    <col min="5890" max="5894" width="20.6640625" customWidth="1"/>
    <col min="5895" max="5895" width="15.6640625" customWidth="1"/>
    <col min="5896" max="5896" width="12.33203125" customWidth="1"/>
    <col min="5897" max="5897" width="29.33203125" customWidth="1"/>
    <col min="5898" max="5903" width="15.6640625" customWidth="1"/>
    <col min="5905" max="5905" width="11.44140625" bestFit="1" customWidth="1"/>
    <col min="6144" max="6144" width="46" customWidth="1"/>
    <col min="6145" max="6145" width="22.88671875" customWidth="1"/>
    <col min="6146" max="6150" width="20.6640625" customWidth="1"/>
    <col min="6151" max="6151" width="15.6640625" customWidth="1"/>
    <col min="6152" max="6152" width="12.33203125" customWidth="1"/>
    <col min="6153" max="6153" width="29.33203125" customWidth="1"/>
    <col min="6154" max="6159" width="15.6640625" customWidth="1"/>
    <col min="6161" max="6161" width="11.44140625" bestFit="1" customWidth="1"/>
    <col min="6400" max="6400" width="46" customWidth="1"/>
    <col min="6401" max="6401" width="22.88671875" customWidth="1"/>
    <col min="6402" max="6406" width="20.6640625" customWidth="1"/>
    <col min="6407" max="6407" width="15.6640625" customWidth="1"/>
    <col min="6408" max="6408" width="12.33203125" customWidth="1"/>
    <col min="6409" max="6409" width="29.33203125" customWidth="1"/>
    <col min="6410" max="6415" width="15.6640625" customWidth="1"/>
    <col min="6417" max="6417" width="11.44140625" bestFit="1" customWidth="1"/>
    <col min="6656" max="6656" width="46" customWidth="1"/>
    <col min="6657" max="6657" width="22.88671875" customWidth="1"/>
    <col min="6658" max="6662" width="20.6640625" customWidth="1"/>
    <col min="6663" max="6663" width="15.6640625" customWidth="1"/>
    <col min="6664" max="6664" width="12.33203125" customWidth="1"/>
    <col min="6665" max="6665" width="29.33203125" customWidth="1"/>
    <col min="6666" max="6671" width="15.6640625" customWidth="1"/>
    <col min="6673" max="6673" width="11.44140625" bestFit="1" customWidth="1"/>
    <col min="6912" max="6912" width="46" customWidth="1"/>
    <col min="6913" max="6913" width="22.88671875" customWidth="1"/>
    <col min="6914" max="6918" width="20.6640625" customWidth="1"/>
    <col min="6919" max="6919" width="15.6640625" customWidth="1"/>
    <col min="6920" max="6920" width="12.33203125" customWidth="1"/>
    <col min="6921" max="6921" width="29.33203125" customWidth="1"/>
    <col min="6922" max="6927" width="15.6640625" customWidth="1"/>
    <col min="6929" max="6929" width="11.44140625" bestFit="1" customWidth="1"/>
    <col min="7168" max="7168" width="46" customWidth="1"/>
    <col min="7169" max="7169" width="22.88671875" customWidth="1"/>
    <col min="7170" max="7174" width="20.6640625" customWidth="1"/>
    <col min="7175" max="7175" width="15.6640625" customWidth="1"/>
    <col min="7176" max="7176" width="12.33203125" customWidth="1"/>
    <col min="7177" max="7177" width="29.33203125" customWidth="1"/>
    <col min="7178" max="7183" width="15.6640625" customWidth="1"/>
    <col min="7185" max="7185" width="11.44140625" bestFit="1" customWidth="1"/>
    <col min="7424" max="7424" width="46" customWidth="1"/>
    <col min="7425" max="7425" width="22.88671875" customWidth="1"/>
    <col min="7426" max="7430" width="20.6640625" customWidth="1"/>
    <col min="7431" max="7431" width="15.6640625" customWidth="1"/>
    <col min="7432" max="7432" width="12.33203125" customWidth="1"/>
    <col min="7433" max="7433" width="29.33203125" customWidth="1"/>
    <col min="7434" max="7439" width="15.6640625" customWidth="1"/>
    <col min="7441" max="7441" width="11.44140625" bestFit="1" customWidth="1"/>
    <col min="7680" max="7680" width="46" customWidth="1"/>
    <col min="7681" max="7681" width="22.88671875" customWidth="1"/>
    <col min="7682" max="7686" width="20.6640625" customWidth="1"/>
    <col min="7687" max="7687" width="15.6640625" customWidth="1"/>
    <col min="7688" max="7688" width="12.33203125" customWidth="1"/>
    <col min="7689" max="7689" width="29.33203125" customWidth="1"/>
    <col min="7690" max="7695" width="15.6640625" customWidth="1"/>
    <col min="7697" max="7697" width="11.44140625" bestFit="1" customWidth="1"/>
    <col min="7936" max="7936" width="46" customWidth="1"/>
    <col min="7937" max="7937" width="22.88671875" customWidth="1"/>
    <col min="7938" max="7942" width="20.6640625" customWidth="1"/>
    <col min="7943" max="7943" width="15.6640625" customWidth="1"/>
    <col min="7944" max="7944" width="12.33203125" customWidth="1"/>
    <col min="7945" max="7945" width="29.33203125" customWidth="1"/>
    <col min="7946" max="7951" width="15.6640625" customWidth="1"/>
    <col min="7953" max="7953" width="11.44140625" bestFit="1" customWidth="1"/>
    <col min="8192" max="8192" width="46" customWidth="1"/>
    <col min="8193" max="8193" width="22.88671875" customWidth="1"/>
    <col min="8194" max="8198" width="20.6640625" customWidth="1"/>
    <col min="8199" max="8199" width="15.6640625" customWidth="1"/>
    <col min="8200" max="8200" width="12.33203125" customWidth="1"/>
    <col min="8201" max="8201" width="29.33203125" customWidth="1"/>
    <col min="8202" max="8207" width="15.6640625" customWidth="1"/>
    <col min="8209" max="8209" width="11.44140625" bestFit="1" customWidth="1"/>
    <col min="8448" max="8448" width="46" customWidth="1"/>
    <col min="8449" max="8449" width="22.88671875" customWidth="1"/>
    <col min="8450" max="8454" width="20.6640625" customWidth="1"/>
    <col min="8455" max="8455" width="15.6640625" customWidth="1"/>
    <col min="8456" max="8456" width="12.33203125" customWidth="1"/>
    <col min="8457" max="8457" width="29.33203125" customWidth="1"/>
    <col min="8458" max="8463" width="15.6640625" customWidth="1"/>
    <col min="8465" max="8465" width="11.44140625" bestFit="1" customWidth="1"/>
    <col min="8704" max="8704" width="46" customWidth="1"/>
    <col min="8705" max="8705" width="22.88671875" customWidth="1"/>
    <col min="8706" max="8710" width="20.6640625" customWidth="1"/>
    <col min="8711" max="8711" width="15.6640625" customWidth="1"/>
    <col min="8712" max="8712" width="12.33203125" customWidth="1"/>
    <col min="8713" max="8713" width="29.33203125" customWidth="1"/>
    <col min="8714" max="8719" width="15.6640625" customWidth="1"/>
    <col min="8721" max="8721" width="11.44140625" bestFit="1" customWidth="1"/>
    <col min="8960" max="8960" width="46" customWidth="1"/>
    <col min="8961" max="8961" width="22.88671875" customWidth="1"/>
    <col min="8962" max="8966" width="20.6640625" customWidth="1"/>
    <col min="8967" max="8967" width="15.6640625" customWidth="1"/>
    <col min="8968" max="8968" width="12.33203125" customWidth="1"/>
    <col min="8969" max="8969" width="29.33203125" customWidth="1"/>
    <col min="8970" max="8975" width="15.6640625" customWidth="1"/>
    <col min="8977" max="8977" width="11.44140625" bestFit="1" customWidth="1"/>
    <col min="9216" max="9216" width="46" customWidth="1"/>
    <col min="9217" max="9217" width="22.88671875" customWidth="1"/>
    <col min="9218" max="9222" width="20.6640625" customWidth="1"/>
    <col min="9223" max="9223" width="15.6640625" customWidth="1"/>
    <col min="9224" max="9224" width="12.33203125" customWidth="1"/>
    <col min="9225" max="9225" width="29.33203125" customWidth="1"/>
    <col min="9226" max="9231" width="15.6640625" customWidth="1"/>
    <col min="9233" max="9233" width="11.44140625" bestFit="1" customWidth="1"/>
    <col min="9472" max="9472" width="46" customWidth="1"/>
    <col min="9473" max="9473" width="22.88671875" customWidth="1"/>
    <col min="9474" max="9478" width="20.6640625" customWidth="1"/>
    <col min="9479" max="9479" width="15.6640625" customWidth="1"/>
    <col min="9480" max="9480" width="12.33203125" customWidth="1"/>
    <col min="9481" max="9481" width="29.33203125" customWidth="1"/>
    <col min="9482" max="9487" width="15.6640625" customWidth="1"/>
    <col min="9489" max="9489" width="11.44140625" bestFit="1" customWidth="1"/>
    <col min="9728" max="9728" width="46" customWidth="1"/>
    <col min="9729" max="9729" width="22.88671875" customWidth="1"/>
    <col min="9730" max="9734" width="20.6640625" customWidth="1"/>
    <col min="9735" max="9735" width="15.6640625" customWidth="1"/>
    <col min="9736" max="9736" width="12.33203125" customWidth="1"/>
    <col min="9737" max="9737" width="29.33203125" customWidth="1"/>
    <col min="9738" max="9743" width="15.6640625" customWidth="1"/>
    <col min="9745" max="9745" width="11.44140625" bestFit="1" customWidth="1"/>
    <col min="9984" max="9984" width="46" customWidth="1"/>
    <col min="9985" max="9985" width="22.88671875" customWidth="1"/>
    <col min="9986" max="9990" width="20.6640625" customWidth="1"/>
    <col min="9991" max="9991" width="15.6640625" customWidth="1"/>
    <col min="9992" max="9992" width="12.33203125" customWidth="1"/>
    <col min="9993" max="9993" width="29.33203125" customWidth="1"/>
    <col min="9994" max="9999" width="15.6640625" customWidth="1"/>
    <col min="10001" max="10001" width="11.44140625" bestFit="1" customWidth="1"/>
    <col min="10240" max="10240" width="46" customWidth="1"/>
    <col min="10241" max="10241" width="22.88671875" customWidth="1"/>
    <col min="10242" max="10246" width="20.6640625" customWidth="1"/>
    <col min="10247" max="10247" width="15.6640625" customWidth="1"/>
    <col min="10248" max="10248" width="12.33203125" customWidth="1"/>
    <col min="10249" max="10249" width="29.33203125" customWidth="1"/>
    <col min="10250" max="10255" width="15.6640625" customWidth="1"/>
    <col min="10257" max="10257" width="11.44140625" bestFit="1" customWidth="1"/>
    <col min="10496" max="10496" width="46" customWidth="1"/>
    <col min="10497" max="10497" width="22.88671875" customWidth="1"/>
    <col min="10498" max="10502" width="20.6640625" customWidth="1"/>
    <col min="10503" max="10503" width="15.6640625" customWidth="1"/>
    <col min="10504" max="10504" width="12.33203125" customWidth="1"/>
    <col min="10505" max="10505" width="29.33203125" customWidth="1"/>
    <col min="10506" max="10511" width="15.6640625" customWidth="1"/>
    <col min="10513" max="10513" width="11.44140625" bestFit="1" customWidth="1"/>
    <col min="10752" max="10752" width="46" customWidth="1"/>
    <col min="10753" max="10753" width="22.88671875" customWidth="1"/>
    <col min="10754" max="10758" width="20.6640625" customWidth="1"/>
    <col min="10759" max="10759" width="15.6640625" customWidth="1"/>
    <col min="10760" max="10760" width="12.33203125" customWidth="1"/>
    <col min="10761" max="10761" width="29.33203125" customWidth="1"/>
    <col min="10762" max="10767" width="15.6640625" customWidth="1"/>
    <col min="10769" max="10769" width="11.44140625" bestFit="1" customWidth="1"/>
    <col min="11008" max="11008" width="46" customWidth="1"/>
    <col min="11009" max="11009" width="22.88671875" customWidth="1"/>
    <col min="11010" max="11014" width="20.6640625" customWidth="1"/>
    <col min="11015" max="11015" width="15.6640625" customWidth="1"/>
    <col min="11016" max="11016" width="12.33203125" customWidth="1"/>
    <col min="11017" max="11017" width="29.33203125" customWidth="1"/>
    <col min="11018" max="11023" width="15.6640625" customWidth="1"/>
    <col min="11025" max="11025" width="11.44140625" bestFit="1" customWidth="1"/>
    <col min="11264" max="11264" width="46" customWidth="1"/>
    <col min="11265" max="11265" width="22.88671875" customWidth="1"/>
    <col min="11266" max="11270" width="20.6640625" customWidth="1"/>
    <col min="11271" max="11271" width="15.6640625" customWidth="1"/>
    <col min="11272" max="11272" width="12.33203125" customWidth="1"/>
    <col min="11273" max="11273" width="29.33203125" customWidth="1"/>
    <col min="11274" max="11279" width="15.6640625" customWidth="1"/>
    <col min="11281" max="11281" width="11.44140625" bestFit="1" customWidth="1"/>
    <col min="11520" max="11520" width="46" customWidth="1"/>
    <col min="11521" max="11521" width="22.88671875" customWidth="1"/>
    <col min="11522" max="11526" width="20.6640625" customWidth="1"/>
    <col min="11527" max="11527" width="15.6640625" customWidth="1"/>
    <col min="11528" max="11528" width="12.33203125" customWidth="1"/>
    <col min="11529" max="11529" width="29.33203125" customWidth="1"/>
    <col min="11530" max="11535" width="15.6640625" customWidth="1"/>
    <col min="11537" max="11537" width="11.44140625" bestFit="1" customWidth="1"/>
    <col min="11776" max="11776" width="46" customWidth="1"/>
    <col min="11777" max="11777" width="22.88671875" customWidth="1"/>
    <col min="11778" max="11782" width="20.6640625" customWidth="1"/>
    <col min="11783" max="11783" width="15.6640625" customWidth="1"/>
    <col min="11784" max="11784" width="12.33203125" customWidth="1"/>
    <col min="11785" max="11785" width="29.33203125" customWidth="1"/>
    <col min="11786" max="11791" width="15.6640625" customWidth="1"/>
    <col min="11793" max="11793" width="11.44140625" bestFit="1" customWidth="1"/>
    <col min="12032" max="12032" width="46" customWidth="1"/>
    <col min="12033" max="12033" width="22.88671875" customWidth="1"/>
    <col min="12034" max="12038" width="20.6640625" customWidth="1"/>
    <col min="12039" max="12039" width="15.6640625" customWidth="1"/>
    <col min="12040" max="12040" width="12.33203125" customWidth="1"/>
    <col min="12041" max="12041" width="29.33203125" customWidth="1"/>
    <col min="12042" max="12047" width="15.6640625" customWidth="1"/>
    <col min="12049" max="12049" width="11.44140625" bestFit="1" customWidth="1"/>
    <col min="12288" max="12288" width="46" customWidth="1"/>
    <col min="12289" max="12289" width="22.88671875" customWidth="1"/>
    <col min="12290" max="12294" width="20.6640625" customWidth="1"/>
    <col min="12295" max="12295" width="15.6640625" customWidth="1"/>
    <col min="12296" max="12296" width="12.33203125" customWidth="1"/>
    <col min="12297" max="12297" width="29.33203125" customWidth="1"/>
    <col min="12298" max="12303" width="15.6640625" customWidth="1"/>
    <col min="12305" max="12305" width="11.44140625" bestFit="1" customWidth="1"/>
    <col min="12544" max="12544" width="46" customWidth="1"/>
    <col min="12545" max="12545" width="22.88671875" customWidth="1"/>
    <col min="12546" max="12550" width="20.6640625" customWidth="1"/>
    <col min="12551" max="12551" width="15.6640625" customWidth="1"/>
    <col min="12552" max="12552" width="12.33203125" customWidth="1"/>
    <col min="12553" max="12553" width="29.33203125" customWidth="1"/>
    <col min="12554" max="12559" width="15.6640625" customWidth="1"/>
    <col min="12561" max="12561" width="11.44140625" bestFit="1" customWidth="1"/>
    <col min="12800" max="12800" width="46" customWidth="1"/>
    <col min="12801" max="12801" width="22.88671875" customWidth="1"/>
    <col min="12802" max="12806" width="20.6640625" customWidth="1"/>
    <col min="12807" max="12807" width="15.6640625" customWidth="1"/>
    <col min="12808" max="12808" width="12.33203125" customWidth="1"/>
    <col min="12809" max="12809" width="29.33203125" customWidth="1"/>
    <col min="12810" max="12815" width="15.6640625" customWidth="1"/>
    <col min="12817" max="12817" width="11.44140625" bestFit="1" customWidth="1"/>
    <col min="13056" max="13056" width="46" customWidth="1"/>
    <col min="13057" max="13057" width="22.88671875" customWidth="1"/>
    <col min="13058" max="13062" width="20.6640625" customWidth="1"/>
    <col min="13063" max="13063" width="15.6640625" customWidth="1"/>
    <col min="13064" max="13064" width="12.33203125" customWidth="1"/>
    <col min="13065" max="13065" width="29.33203125" customWidth="1"/>
    <col min="13066" max="13071" width="15.6640625" customWidth="1"/>
    <col min="13073" max="13073" width="11.44140625" bestFit="1" customWidth="1"/>
    <col min="13312" max="13312" width="46" customWidth="1"/>
    <col min="13313" max="13313" width="22.88671875" customWidth="1"/>
    <col min="13314" max="13318" width="20.6640625" customWidth="1"/>
    <col min="13319" max="13319" width="15.6640625" customWidth="1"/>
    <col min="13320" max="13320" width="12.33203125" customWidth="1"/>
    <col min="13321" max="13321" width="29.33203125" customWidth="1"/>
    <col min="13322" max="13327" width="15.6640625" customWidth="1"/>
    <col min="13329" max="13329" width="11.44140625" bestFit="1" customWidth="1"/>
    <col min="13568" max="13568" width="46" customWidth="1"/>
    <col min="13569" max="13569" width="22.88671875" customWidth="1"/>
    <col min="13570" max="13574" width="20.6640625" customWidth="1"/>
    <col min="13575" max="13575" width="15.6640625" customWidth="1"/>
    <col min="13576" max="13576" width="12.33203125" customWidth="1"/>
    <col min="13577" max="13577" width="29.33203125" customWidth="1"/>
    <col min="13578" max="13583" width="15.6640625" customWidth="1"/>
    <col min="13585" max="13585" width="11.44140625" bestFit="1" customWidth="1"/>
    <col min="13824" max="13824" width="46" customWidth="1"/>
    <col min="13825" max="13825" width="22.88671875" customWidth="1"/>
    <col min="13826" max="13830" width="20.6640625" customWidth="1"/>
    <col min="13831" max="13831" width="15.6640625" customWidth="1"/>
    <col min="13832" max="13832" width="12.33203125" customWidth="1"/>
    <col min="13833" max="13833" width="29.33203125" customWidth="1"/>
    <col min="13834" max="13839" width="15.6640625" customWidth="1"/>
    <col min="13841" max="13841" width="11.44140625" bestFit="1" customWidth="1"/>
    <col min="14080" max="14080" width="46" customWidth="1"/>
    <col min="14081" max="14081" width="22.88671875" customWidth="1"/>
    <col min="14082" max="14086" width="20.6640625" customWidth="1"/>
    <col min="14087" max="14087" width="15.6640625" customWidth="1"/>
    <col min="14088" max="14088" width="12.33203125" customWidth="1"/>
    <col min="14089" max="14089" width="29.33203125" customWidth="1"/>
    <col min="14090" max="14095" width="15.6640625" customWidth="1"/>
    <col min="14097" max="14097" width="11.44140625" bestFit="1" customWidth="1"/>
    <col min="14336" max="14336" width="46" customWidth="1"/>
    <col min="14337" max="14337" width="22.88671875" customWidth="1"/>
    <col min="14338" max="14342" width="20.6640625" customWidth="1"/>
    <col min="14343" max="14343" width="15.6640625" customWidth="1"/>
    <col min="14344" max="14344" width="12.33203125" customWidth="1"/>
    <col min="14345" max="14345" width="29.33203125" customWidth="1"/>
    <col min="14346" max="14351" width="15.6640625" customWidth="1"/>
    <col min="14353" max="14353" width="11.44140625" bestFit="1" customWidth="1"/>
    <col min="14592" max="14592" width="46" customWidth="1"/>
    <col min="14593" max="14593" width="22.88671875" customWidth="1"/>
    <col min="14594" max="14598" width="20.6640625" customWidth="1"/>
    <col min="14599" max="14599" width="15.6640625" customWidth="1"/>
    <col min="14600" max="14600" width="12.33203125" customWidth="1"/>
    <col min="14601" max="14601" width="29.33203125" customWidth="1"/>
    <col min="14602" max="14607" width="15.6640625" customWidth="1"/>
    <col min="14609" max="14609" width="11.44140625" bestFit="1" customWidth="1"/>
    <col min="14848" max="14848" width="46" customWidth="1"/>
    <col min="14849" max="14849" width="22.88671875" customWidth="1"/>
    <col min="14850" max="14854" width="20.6640625" customWidth="1"/>
    <col min="14855" max="14855" width="15.6640625" customWidth="1"/>
    <col min="14856" max="14856" width="12.33203125" customWidth="1"/>
    <col min="14857" max="14857" width="29.33203125" customWidth="1"/>
    <col min="14858" max="14863" width="15.6640625" customWidth="1"/>
    <col min="14865" max="14865" width="11.44140625" bestFit="1" customWidth="1"/>
    <col min="15104" max="15104" width="46" customWidth="1"/>
    <col min="15105" max="15105" width="22.88671875" customWidth="1"/>
    <col min="15106" max="15110" width="20.6640625" customWidth="1"/>
    <col min="15111" max="15111" width="15.6640625" customWidth="1"/>
    <col min="15112" max="15112" width="12.33203125" customWidth="1"/>
    <col min="15113" max="15113" width="29.33203125" customWidth="1"/>
    <col min="15114" max="15119" width="15.6640625" customWidth="1"/>
    <col min="15121" max="15121" width="11.44140625" bestFit="1" customWidth="1"/>
    <col min="15360" max="15360" width="46" customWidth="1"/>
    <col min="15361" max="15361" width="22.88671875" customWidth="1"/>
    <col min="15362" max="15366" width="20.6640625" customWidth="1"/>
    <col min="15367" max="15367" width="15.6640625" customWidth="1"/>
    <col min="15368" max="15368" width="12.33203125" customWidth="1"/>
    <col min="15369" max="15369" width="29.33203125" customWidth="1"/>
    <col min="15370" max="15375" width="15.6640625" customWidth="1"/>
    <col min="15377" max="15377" width="11.44140625" bestFit="1" customWidth="1"/>
    <col min="15616" max="15616" width="46" customWidth="1"/>
    <col min="15617" max="15617" width="22.88671875" customWidth="1"/>
    <col min="15618" max="15622" width="20.6640625" customWidth="1"/>
    <col min="15623" max="15623" width="15.6640625" customWidth="1"/>
    <col min="15624" max="15624" width="12.33203125" customWidth="1"/>
    <col min="15625" max="15625" width="29.33203125" customWidth="1"/>
    <col min="15626" max="15631" width="15.6640625" customWidth="1"/>
    <col min="15633" max="15633" width="11.44140625" bestFit="1" customWidth="1"/>
    <col min="15872" max="15872" width="46" customWidth="1"/>
    <col min="15873" max="15873" width="22.88671875" customWidth="1"/>
    <col min="15874" max="15878" width="20.6640625" customWidth="1"/>
    <col min="15879" max="15879" width="15.6640625" customWidth="1"/>
    <col min="15880" max="15880" width="12.33203125" customWidth="1"/>
    <col min="15881" max="15881" width="29.33203125" customWidth="1"/>
    <col min="15882" max="15887" width="15.6640625" customWidth="1"/>
    <col min="15889" max="15889" width="11.44140625" bestFit="1" customWidth="1"/>
    <col min="16128" max="16128" width="46" customWidth="1"/>
    <col min="16129" max="16129" width="22.88671875" customWidth="1"/>
    <col min="16130" max="16134" width="20.6640625" customWidth="1"/>
    <col min="16135" max="16135" width="15.6640625" customWidth="1"/>
    <col min="16136" max="16136" width="12.33203125" customWidth="1"/>
    <col min="16137" max="16137" width="29.33203125" customWidth="1"/>
    <col min="16138" max="16143" width="15.6640625" customWidth="1"/>
    <col min="16145" max="16145" width="11.44140625" bestFit="1" customWidth="1"/>
  </cols>
  <sheetData>
    <row r="1" spans="1:24" ht="18" x14ac:dyDescent="0.35">
      <c r="A1" s="526" t="s">
        <v>353</v>
      </c>
      <c r="E1" s="601"/>
      <c r="F1" s="685" t="s">
        <v>352</v>
      </c>
    </row>
    <row r="2" spans="1:24" ht="13.8" x14ac:dyDescent="0.25">
      <c r="B2" s="527"/>
      <c r="C2" s="528"/>
      <c r="D2" s="529"/>
      <c r="E2" s="527"/>
      <c r="F2" s="529"/>
      <c r="G2" s="529"/>
      <c r="H2" s="529"/>
      <c r="I2" s="527"/>
      <c r="J2" s="529"/>
      <c r="K2" s="529"/>
      <c r="L2" s="529"/>
      <c r="M2" s="529"/>
      <c r="N2" s="529"/>
    </row>
    <row r="3" spans="1:24" ht="37.950000000000003" customHeight="1" x14ac:dyDescent="0.3">
      <c r="A3" s="530"/>
      <c r="B3" s="754" t="s">
        <v>178</v>
      </c>
      <c r="C3" s="603" t="s">
        <v>237</v>
      </c>
      <c r="D3" s="605" t="s">
        <v>238</v>
      </c>
      <c r="E3" s="754" t="s">
        <v>179</v>
      </c>
      <c r="F3" s="757" t="s">
        <v>297</v>
      </c>
      <c r="G3" s="755" t="s">
        <v>180</v>
      </c>
      <c r="H3" s="759" t="s">
        <v>363</v>
      </c>
      <c r="J3" s="753"/>
      <c r="K3" s="529"/>
      <c r="L3" s="529"/>
      <c r="M3" s="529"/>
      <c r="N3" s="529"/>
    </row>
    <row r="4" spans="1:24" ht="24" customHeight="1" x14ac:dyDescent="0.3">
      <c r="A4" s="531"/>
      <c r="B4" s="754"/>
      <c r="C4" s="604" t="str">
        <f>+F1</f>
        <v>17.12.21</v>
      </c>
      <c r="D4" s="602" t="str">
        <f>+F1</f>
        <v>17.12.21</v>
      </c>
      <c r="E4" s="754"/>
      <c r="F4" s="758"/>
      <c r="G4" s="756"/>
      <c r="H4" s="760"/>
      <c r="J4" s="753"/>
      <c r="K4" s="532"/>
      <c r="L4" s="532"/>
      <c r="M4" s="532"/>
      <c r="N4" s="532"/>
      <c r="O4" s="532"/>
      <c r="P4" s="475"/>
      <c r="Q4" s="11"/>
      <c r="R4" s="11"/>
      <c r="S4" s="11"/>
      <c r="T4" s="11"/>
      <c r="U4" s="11"/>
      <c r="V4" s="11"/>
      <c r="W4" s="11"/>
      <c r="X4" s="11"/>
    </row>
    <row r="5" spans="1:24" ht="27.6" customHeight="1" x14ac:dyDescent="0.3">
      <c r="A5" s="533" t="s">
        <v>177</v>
      </c>
      <c r="B5" s="559">
        <v>47326</v>
      </c>
      <c r="C5" s="560">
        <f>+C23</f>
        <v>11340.95</v>
      </c>
      <c r="D5" s="558">
        <f>+B5-C5</f>
        <v>35985.050000000003</v>
      </c>
      <c r="E5" s="558">
        <v>18000</v>
      </c>
      <c r="F5" s="687">
        <f>SUM(H19)</f>
        <v>0</v>
      </c>
      <c r="G5" s="561">
        <v>0</v>
      </c>
      <c r="H5" s="558">
        <f>+D5+E5+G5+F5</f>
        <v>53985.05</v>
      </c>
      <c r="I5" s="693" t="s">
        <v>137</v>
      </c>
      <c r="J5" s="710" t="s">
        <v>137</v>
      </c>
      <c r="L5" s="752"/>
      <c r="M5" s="752"/>
      <c r="N5" s="752"/>
      <c r="O5" s="532"/>
      <c r="P5" s="475"/>
      <c r="Q5" s="11"/>
      <c r="R5" s="11"/>
      <c r="S5" s="11"/>
      <c r="T5" s="11"/>
      <c r="U5" s="11"/>
      <c r="V5" s="11"/>
      <c r="W5" s="11"/>
      <c r="X5" s="11"/>
    </row>
    <row r="6" spans="1:24" ht="14.4" x14ac:dyDescent="0.3">
      <c r="A6" s="534" t="s">
        <v>153</v>
      </c>
      <c r="B6" s="559">
        <v>9180</v>
      </c>
      <c r="C6" s="560">
        <f>+F23</f>
        <v>25641.739999999998</v>
      </c>
      <c r="D6" s="558">
        <f t="shared" ref="D6:D18" si="0">+B6-C6</f>
        <v>-16461.739999999998</v>
      </c>
      <c r="E6" s="558">
        <v>13650</v>
      </c>
      <c r="F6" s="687">
        <v>0</v>
      </c>
      <c r="G6" s="561">
        <v>0</v>
      </c>
      <c r="H6" s="558">
        <f>+D6+E6+G6+F6</f>
        <v>-2811.739999999998</v>
      </c>
      <c r="J6" s="532"/>
      <c r="L6" s="557"/>
      <c r="M6" s="557"/>
      <c r="N6" s="557"/>
      <c r="O6" s="532"/>
      <c r="P6" s="475"/>
      <c r="Q6" s="11"/>
      <c r="R6" s="11"/>
      <c r="S6" s="11"/>
      <c r="T6" s="11"/>
      <c r="U6" s="11"/>
      <c r="V6" s="11"/>
      <c r="W6" s="11"/>
      <c r="X6" s="11"/>
    </row>
    <row r="7" spans="1:24" ht="14.4" x14ac:dyDescent="0.3">
      <c r="A7" s="534" t="s">
        <v>154</v>
      </c>
      <c r="B7" s="559">
        <v>11797</v>
      </c>
      <c r="C7" s="560">
        <f>+I23</f>
        <v>0</v>
      </c>
      <c r="D7" s="558">
        <f t="shared" si="0"/>
        <v>11797</v>
      </c>
      <c r="E7" s="558">
        <v>1000</v>
      </c>
      <c r="F7" s="687">
        <v>0</v>
      </c>
      <c r="G7" s="561">
        <v>0</v>
      </c>
      <c r="H7" s="558">
        <f t="shared" ref="H7:H19" si="1">+D7+E7+G7</f>
        <v>12797</v>
      </c>
      <c r="I7" s="535"/>
      <c r="J7" s="532"/>
      <c r="L7" s="532"/>
      <c r="M7" s="532"/>
      <c r="N7" s="532"/>
      <c r="O7" s="532"/>
      <c r="P7" s="475"/>
      <c r="Q7" s="11"/>
      <c r="R7" s="11"/>
      <c r="S7" s="11"/>
      <c r="T7" s="11"/>
      <c r="U7" s="11"/>
      <c r="V7" s="11"/>
      <c r="W7" s="11"/>
      <c r="X7" s="11"/>
    </row>
    <row r="8" spans="1:24" ht="14.4" x14ac:dyDescent="0.3">
      <c r="A8" s="534" t="s">
        <v>155</v>
      </c>
      <c r="B8" s="558">
        <v>4409</v>
      </c>
      <c r="C8" s="560">
        <f>+C47</f>
        <v>6304.5</v>
      </c>
      <c r="D8" s="558">
        <f t="shared" si="0"/>
        <v>-1895.5</v>
      </c>
      <c r="E8" s="558">
        <v>3500</v>
      </c>
      <c r="F8" s="687">
        <v>0</v>
      </c>
      <c r="G8" s="561">
        <v>0</v>
      </c>
      <c r="H8" s="558">
        <f t="shared" si="1"/>
        <v>1604.5</v>
      </c>
      <c r="I8" s="535"/>
      <c r="J8" s="532"/>
      <c r="L8" s="532"/>
      <c r="M8" s="532"/>
      <c r="N8" s="532"/>
      <c r="O8" s="532"/>
      <c r="P8" s="475"/>
      <c r="Q8" s="11"/>
      <c r="R8" s="11"/>
      <c r="S8" s="11"/>
      <c r="T8" s="11"/>
      <c r="U8" s="11"/>
      <c r="V8" s="11"/>
      <c r="W8" s="11"/>
      <c r="X8" s="11"/>
    </row>
    <row r="9" spans="1:24" ht="14.4" x14ac:dyDescent="0.3">
      <c r="A9" s="536" t="s">
        <v>119</v>
      </c>
      <c r="B9" s="558">
        <v>15001</v>
      </c>
      <c r="C9" s="560">
        <f>+F47</f>
        <v>0</v>
      </c>
      <c r="D9" s="558">
        <f t="shared" si="0"/>
        <v>15001</v>
      </c>
      <c r="E9" s="558">
        <v>3700</v>
      </c>
      <c r="F9" s="687">
        <v>0</v>
      </c>
      <c r="G9" s="561">
        <v>0</v>
      </c>
      <c r="H9" s="558">
        <f t="shared" si="1"/>
        <v>18701</v>
      </c>
      <c r="I9" s="535"/>
      <c r="J9" s="532"/>
      <c r="L9" s="532"/>
      <c r="M9" s="532"/>
      <c r="N9" s="532"/>
      <c r="O9" s="532"/>
      <c r="P9" s="475"/>
      <c r="Q9" s="11"/>
      <c r="R9" s="11"/>
      <c r="S9" s="11"/>
      <c r="T9" s="11"/>
      <c r="U9" s="11"/>
      <c r="V9" s="11"/>
      <c r="W9" s="11"/>
      <c r="X9" s="11"/>
    </row>
    <row r="10" spans="1:24" ht="14.4" x14ac:dyDescent="0.3">
      <c r="A10" s="534" t="s">
        <v>120</v>
      </c>
      <c r="B10" s="558">
        <v>17864</v>
      </c>
      <c r="C10" s="560">
        <f>+I47</f>
        <v>4648.5</v>
      </c>
      <c r="D10" s="558">
        <f t="shared" si="0"/>
        <v>13215.5</v>
      </c>
      <c r="E10" s="558">
        <v>1000</v>
      </c>
      <c r="F10" s="687">
        <v>0</v>
      </c>
      <c r="G10" s="561">
        <v>0</v>
      </c>
      <c r="H10" s="558">
        <f t="shared" si="1"/>
        <v>14215.5</v>
      </c>
      <c r="I10" s="535"/>
      <c r="J10" s="532"/>
      <c r="L10" s="532"/>
      <c r="M10" s="532"/>
      <c r="N10" s="532"/>
      <c r="O10" s="532"/>
      <c r="P10" s="475"/>
      <c r="Q10" s="11"/>
      <c r="R10" s="11"/>
      <c r="S10" s="11"/>
      <c r="T10" s="11"/>
      <c r="U10" s="11"/>
      <c r="V10" s="11"/>
      <c r="W10" s="11"/>
      <c r="X10" s="11"/>
    </row>
    <row r="11" spans="1:24" ht="14.4" x14ac:dyDescent="0.3">
      <c r="A11" s="534" t="s">
        <v>121</v>
      </c>
      <c r="B11" s="558">
        <v>7130</v>
      </c>
      <c r="C11" s="560">
        <f>SUM(C75:C87)</f>
        <v>150</v>
      </c>
      <c r="D11" s="558">
        <f t="shared" si="0"/>
        <v>6980</v>
      </c>
      <c r="E11" s="558">
        <v>4500</v>
      </c>
      <c r="F11" s="687">
        <v>0</v>
      </c>
      <c r="G11" s="561">
        <v>0</v>
      </c>
      <c r="H11" s="558">
        <f t="shared" si="1"/>
        <v>11480</v>
      </c>
      <c r="I11" s="535"/>
      <c r="J11" s="532"/>
      <c r="L11" s="532"/>
      <c r="M11" s="532"/>
      <c r="N11" s="532"/>
      <c r="O11" s="532"/>
      <c r="P11" s="475"/>
      <c r="Q11" s="11"/>
      <c r="R11" s="11"/>
      <c r="S11" s="11"/>
      <c r="T11" s="11"/>
      <c r="U11" s="11"/>
      <c r="V11" s="11"/>
      <c r="W11" s="11"/>
      <c r="X11" s="11"/>
    </row>
    <row r="12" spans="1:24" ht="14.4" x14ac:dyDescent="0.3">
      <c r="A12" s="534" t="s">
        <v>122</v>
      </c>
      <c r="B12" s="558">
        <v>11927</v>
      </c>
      <c r="C12" s="560">
        <f>+F68</f>
        <v>5900</v>
      </c>
      <c r="D12" s="558">
        <f t="shared" si="0"/>
        <v>6027</v>
      </c>
      <c r="E12" s="558">
        <v>7000</v>
      </c>
      <c r="F12" s="687">
        <v>0</v>
      </c>
      <c r="G12" s="561">
        <v>0</v>
      </c>
      <c r="H12" s="558">
        <f t="shared" si="1"/>
        <v>13027</v>
      </c>
      <c r="I12" s="535"/>
      <c r="J12" s="532"/>
      <c r="L12" s="532"/>
      <c r="M12" s="532"/>
      <c r="N12" s="532"/>
      <c r="O12" s="532"/>
      <c r="P12" s="475"/>
      <c r="Q12" s="11"/>
      <c r="R12" s="11"/>
      <c r="S12" s="11"/>
      <c r="T12" s="11"/>
      <c r="U12" s="11"/>
      <c r="V12" s="11"/>
      <c r="W12" s="11"/>
      <c r="X12" s="11"/>
    </row>
    <row r="13" spans="1:24" ht="14.4" x14ac:dyDescent="0.3">
      <c r="A13" s="536" t="s">
        <v>140</v>
      </c>
      <c r="B13" s="558">
        <v>10167</v>
      </c>
      <c r="C13" s="560">
        <f>+I68</f>
        <v>4175.5</v>
      </c>
      <c r="D13" s="558">
        <f t="shared" si="0"/>
        <v>5991.5</v>
      </c>
      <c r="E13" s="558">
        <v>3750</v>
      </c>
      <c r="F13" s="687">
        <v>0</v>
      </c>
      <c r="G13" s="561">
        <v>0</v>
      </c>
      <c r="H13" s="558">
        <f t="shared" si="1"/>
        <v>9741.5</v>
      </c>
      <c r="I13" s="535"/>
      <c r="J13" s="532"/>
      <c r="L13" s="532"/>
      <c r="M13" s="532"/>
      <c r="N13" s="532"/>
      <c r="O13" s="532"/>
      <c r="P13" s="475"/>
      <c r="Q13" s="11"/>
      <c r="R13" s="11"/>
      <c r="S13" s="11"/>
      <c r="T13" s="11"/>
      <c r="U13" s="11"/>
      <c r="V13" s="11"/>
      <c r="W13" s="11"/>
      <c r="X13" s="11"/>
    </row>
    <row r="14" spans="1:24" ht="14.4" customHeight="1" x14ac:dyDescent="0.3">
      <c r="A14" s="534" t="s">
        <v>141</v>
      </c>
      <c r="B14" s="558">
        <v>7182</v>
      </c>
      <c r="C14" s="560">
        <f>+C90</f>
        <v>-1961.9499999999998</v>
      </c>
      <c r="D14" s="558">
        <f t="shared" si="0"/>
        <v>9143.9500000000007</v>
      </c>
      <c r="E14" s="558">
        <v>4000</v>
      </c>
      <c r="F14" s="687">
        <v>0</v>
      </c>
      <c r="G14" s="561">
        <v>0</v>
      </c>
      <c r="H14" s="558">
        <f t="shared" si="1"/>
        <v>13143.95</v>
      </c>
      <c r="J14" s="532"/>
      <c r="L14" s="752"/>
      <c r="M14" s="752"/>
      <c r="N14" s="752"/>
      <c r="O14" s="532"/>
      <c r="P14" s="475"/>
      <c r="Q14" s="11"/>
      <c r="R14" s="11"/>
      <c r="S14" s="11"/>
      <c r="T14" s="11"/>
      <c r="U14" s="11"/>
      <c r="V14" s="11"/>
      <c r="W14" s="11"/>
      <c r="X14" s="11"/>
    </row>
    <row r="15" spans="1:24" ht="14.4" x14ac:dyDescent="0.3">
      <c r="A15" s="534" t="s">
        <v>156</v>
      </c>
      <c r="B15" s="558">
        <v>58593</v>
      </c>
      <c r="C15" s="560">
        <f>+F90</f>
        <v>8185.98</v>
      </c>
      <c r="D15" s="558">
        <f t="shared" si="0"/>
        <v>50407.020000000004</v>
      </c>
      <c r="E15" s="558">
        <v>9000</v>
      </c>
      <c r="F15" s="687">
        <v>0</v>
      </c>
      <c r="G15" s="561">
        <v>0</v>
      </c>
      <c r="H15" s="558">
        <f t="shared" si="1"/>
        <v>59407.020000000004</v>
      </c>
      <c r="I15" s="535"/>
      <c r="J15" s="532"/>
      <c r="K15" s="557"/>
      <c r="L15" s="532"/>
      <c r="M15" s="532"/>
      <c r="N15" s="532"/>
      <c r="O15" s="532"/>
      <c r="P15" s="475"/>
      <c r="Q15" s="11"/>
      <c r="R15" s="11"/>
      <c r="S15" s="11"/>
      <c r="T15" s="11"/>
      <c r="U15" s="11"/>
      <c r="V15" s="11"/>
      <c r="W15" s="11"/>
      <c r="X15" s="11"/>
    </row>
    <row r="16" spans="1:24" ht="14.4" customHeight="1" x14ac:dyDescent="0.3">
      <c r="A16" s="534" t="s">
        <v>157</v>
      </c>
      <c r="B16" s="558">
        <v>5623</v>
      </c>
      <c r="C16" s="560">
        <f>+I90</f>
        <v>-1640</v>
      </c>
      <c r="D16" s="558">
        <f t="shared" si="0"/>
        <v>7263</v>
      </c>
      <c r="E16" s="558">
        <v>1200</v>
      </c>
      <c r="F16" s="687">
        <v>0</v>
      </c>
      <c r="G16" s="561">
        <v>0</v>
      </c>
      <c r="H16" s="558">
        <f t="shared" si="1"/>
        <v>8463</v>
      </c>
      <c r="I16" s="532"/>
      <c r="J16" s="532"/>
      <c r="K16" s="532"/>
      <c r="L16" s="532"/>
      <c r="M16" s="532"/>
      <c r="N16" s="532"/>
      <c r="O16" s="532"/>
      <c r="P16" s="475"/>
      <c r="Q16" s="11"/>
      <c r="R16" s="11"/>
      <c r="S16" s="11"/>
      <c r="T16" s="11"/>
      <c r="U16" s="11"/>
      <c r="V16" s="11"/>
      <c r="W16" s="11"/>
      <c r="X16" s="11"/>
    </row>
    <row r="17" spans="1:24" ht="14.4" x14ac:dyDescent="0.3">
      <c r="A17" s="534" t="s">
        <v>158</v>
      </c>
      <c r="B17" s="558">
        <v>14238</v>
      </c>
      <c r="C17" s="560">
        <f>+C111</f>
        <v>5611.5</v>
      </c>
      <c r="D17" s="558">
        <f t="shared" si="0"/>
        <v>8626.5</v>
      </c>
      <c r="E17" s="558">
        <v>4000</v>
      </c>
      <c r="F17" s="687">
        <v>0</v>
      </c>
      <c r="G17" s="561">
        <v>0</v>
      </c>
      <c r="H17" s="558">
        <f t="shared" si="1"/>
        <v>12626.5</v>
      </c>
      <c r="I17" s="532"/>
      <c r="J17" s="532"/>
      <c r="K17" s="532"/>
      <c r="L17" s="532"/>
      <c r="M17" s="532"/>
      <c r="N17" s="532"/>
      <c r="O17" s="532"/>
      <c r="P17" s="475"/>
      <c r="Q17" s="11"/>
      <c r="R17" s="11"/>
      <c r="S17" s="11"/>
      <c r="T17" s="11"/>
      <c r="U17" s="11"/>
      <c r="V17" s="11"/>
      <c r="W17" s="11"/>
      <c r="X17" s="11"/>
    </row>
    <row r="18" spans="1:24" ht="14.4" x14ac:dyDescent="0.3">
      <c r="A18" s="534" t="s">
        <v>159</v>
      </c>
      <c r="B18" s="558">
        <v>31525</v>
      </c>
      <c r="C18" s="558">
        <f>+F111</f>
        <v>6586.5</v>
      </c>
      <c r="D18" s="558">
        <f t="shared" si="0"/>
        <v>24938.5</v>
      </c>
      <c r="E18" s="558">
        <v>1500</v>
      </c>
      <c r="F18" s="687">
        <v>0</v>
      </c>
      <c r="G18" s="578">
        <v>0</v>
      </c>
      <c r="H18" s="558">
        <f t="shared" si="1"/>
        <v>26438.5</v>
      </c>
      <c r="I18" s="562"/>
      <c r="J18" s="532"/>
      <c r="K18" s="532"/>
      <c r="L18" s="532"/>
      <c r="M18" s="532"/>
      <c r="N18" s="532"/>
      <c r="O18" s="532"/>
      <c r="P18" s="475"/>
      <c r="Q18" s="11"/>
      <c r="R18" s="11"/>
      <c r="S18" s="11"/>
      <c r="T18" s="11"/>
      <c r="U18" s="11"/>
      <c r="V18" s="11"/>
      <c r="W18" s="11"/>
      <c r="X18" s="11"/>
    </row>
    <row r="19" spans="1:24" ht="15" thickBot="1" x14ac:dyDescent="0.35">
      <c r="A19" s="608" t="s">
        <v>213</v>
      </c>
      <c r="B19" s="609">
        <v>57664</v>
      </c>
      <c r="C19" s="609">
        <f>SUM(Summary!O10)</f>
        <v>28291.73</v>
      </c>
      <c r="D19" s="609">
        <f>+B19+C19</f>
        <v>85955.73</v>
      </c>
      <c r="E19" s="609">
        <v>0</v>
      </c>
      <c r="F19" s="688">
        <v>0</v>
      </c>
      <c r="G19" s="610">
        <v>0</v>
      </c>
      <c r="H19" s="558">
        <v>0</v>
      </c>
      <c r="I19" s="562"/>
      <c r="J19" s="532"/>
      <c r="K19" s="532"/>
      <c r="L19" s="532"/>
      <c r="M19" s="532"/>
      <c r="N19" s="532"/>
      <c r="O19" s="532"/>
      <c r="P19" s="475"/>
      <c r="Q19" s="11"/>
      <c r="R19" s="11"/>
      <c r="S19" s="11"/>
      <c r="T19" s="11"/>
      <c r="U19" s="11"/>
      <c r="V19" s="11"/>
      <c r="W19" s="11"/>
      <c r="X19" s="11"/>
    </row>
    <row r="20" spans="1:24" ht="13.2" customHeight="1" thickBot="1" x14ac:dyDescent="0.35">
      <c r="A20" s="611" t="s">
        <v>160</v>
      </c>
      <c r="B20" s="613">
        <f>SUM(B5:B19)</f>
        <v>309626</v>
      </c>
      <c r="C20" s="686" t="s">
        <v>137</v>
      </c>
      <c r="D20" s="614">
        <f>SUM(D5:D19)</f>
        <v>262974.51</v>
      </c>
      <c r="E20" s="612">
        <f>SUM(E5:E19)</f>
        <v>75800</v>
      </c>
      <c r="F20" s="689">
        <f>SUM(F5:F19)</f>
        <v>0</v>
      </c>
      <c r="G20" s="615">
        <f>SUM(G5:G19)</f>
        <v>0</v>
      </c>
      <c r="H20" s="616">
        <f>SUM(H5:H19)</f>
        <v>252818.78000000003</v>
      </c>
      <c r="I20" s="562"/>
      <c r="J20" s="563"/>
      <c r="K20" s="532"/>
      <c r="L20" s="532"/>
      <c r="M20" s="532"/>
      <c r="N20" s="532"/>
      <c r="O20" s="532"/>
      <c r="P20" s="475"/>
      <c r="Q20" s="11"/>
      <c r="R20" s="11"/>
      <c r="S20" s="11"/>
      <c r="T20" s="11"/>
      <c r="U20" s="11"/>
      <c r="V20" s="11"/>
      <c r="W20" s="11"/>
      <c r="X20" s="11"/>
    </row>
    <row r="21" spans="1:24" ht="14.4" customHeight="1" thickBot="1" x14ac:dyDescent="0.35">
      <c r="A21" s="531"/>
      <c r="B21" s="532"/>
      <c r="C21" s="475"/>
      <c r="D21" s="475"/>
      <c r="E21" s="532"/>
      <c r="F21" s="475"/>
      <c r="G21" s="475"/>
      <c r="H21" s="475"/>
      <c r="I21" s="606"/>
      <c r="J21" s="607"/>
      <c r="K21" s="475"/>
      <c r="L21" s="475"/>
      <c r="M21" s="475"/>
      <c r="N21" s="532"/>
      <c r="O21" s="475"/>
      <c r="P21" s="475"/>
      <c r="Q21" s="11"/>
      <c r="R21" s="11"/>
      <c r="S21" s="11"/>
      <c r="T21" s="11"/>
      <c r="U21" s="11"/>
      <c r="V21" s="11"/>
      <c r="W21" s="11"/>
      <c r="X21" s="11"/>
    </row>
    <row r="22" spans="1:24" ht="14.4" customHeight="1" x14ac:dyDescent="0.3">
      <c r="A22" s="742" t="s">
        <v>161</v>
      </c>
      <c r="B22" s="743"/>
      <c r="C22" s="751"/>
      <c r="D22" s="742" t="s">
        <v>162</v>
      </c>
      <c r="E22" s="743"/>
      <c r="F22" s="744"/>
      <c r="G22" s="739" t="s">
        <v>163</v>
      </c>
      <c r="H22" s="740"/>
      <c r="I22" s="741"/>
      <c r="K22" s="529"/>
      <c r="L22" s="529"/>
      <c r="M22" s="529"/>
      <c r="N22" s="529"/>
      <c r="O22" s="529"/>
      <c r="P22" s="529"/>
    </row>
    <row r="23" spans="1:24" ht="14.4" customHeight="1" x14ac:dyDescent="0.25">
      <c r="A23" s="586" t="s">
        <v>137</v>
      </c>
      <c r="B23" s="587" t="s">
        <v>137</v>
      </c>
      <c r="C23" s="585">
        <f>+C32+C44</f>
        <v>11340.95</v>
      </c>
      <c r="D23" s="586" t="s">
        <v>137</v>
      </c>
      <c r="E23" s="587" t="s">
        <v>137</v>
      </c>
      <c r="F23" s="585">
        <f>+F34+F44</f>
        <v>25641.739999999998</v>
      </c>
      <c r="G23" s="586" t="s">
        <v>137</v>
      </c>
      <c r="H23" s="587" t="s">
        <v>137</v>
      </c>
      <c r="I23" s="585">
        <f>+I32+I44</f>
        <v>0</v>
      </c>
      <c r="K23" s="529"/>
      <c r="L23" s="529"/>
      <c r="M23" s="529"/>
      <c r="N23" s="529"/>
      <c r="O23" s="529"/>
      <c r="P23" s="529"/>
    </row>
    <row r="24" spans="1:24" ht="14.4" customHeight="1" x14ac:dyDescent="0.25">
      <c r="A24" s="542" t="s">
        <v>164</v>
      </c>
      <c r="B24" s="543" t="s">
        <v>165</v>
      </c>
      <c r="C24" s="484"/>
      <c r="D24" s="542" t="s">
        <v>164</v>
      </c>
      <c r="E24" s="543" t="s">
        <v>165</v>
      </c>
      <c r="F24" s="484"/>
      <c r="G24" s="542" t="s">
        <v>164</v>
      </c>
      <c r="H24" s="543" t="s">
        <v>165</v>
      </c>
      <c r="I24" s="484"/>
      <c r="K24" s="529"/>
      <c r="L24" s="529"/>
      <c r="M24" s="529"/>
      <c r="N24" s="529"/>
      <c r="O24" s="529"/>
      <c r="P24" s="529"/>
    </row>
    <row r="25" spans="1:24" ht="14.4" customHeight="1" x14ac:dyDescent="0.3">
      <c r="A25" s="540" t="s">
        <v>220</v>
      </c>
      <c r="B25" s="584"/>
      <c r="C25" s="556"/>
      <c r="D25" s="540" t="s">
        <v>220</v>
      </c>
      <c r="E25" s="584"/>
      <c r="F25" s="556"/>
      <c r="G25" s="540" t="s">
        <v>220</v>
      </c>
      <c r="H25" s="584"/>
      <c r="I25" s="556"/>
      <c r="K25" s="529"/>
      <c r="L25" s="529"/>
      <c r="M25" s="529"/>
      <c r="N25" s="529"/>
      <c r="O25" s="529"/>
      <c r="P25" s="529"/>
    </row>
    <row r="26" spans="1:24" ht="14.4" customHeight="1" x14ac:dyDescent="0.3">
      <c r="A26" s="617" t="s">
        <v>240</v>
      </c>
      <c r="B26" s="737" t="s">
        <v>241</v>
      </c>
      <c r="C26" s="556">
        <v>1788</v>
      </c>
      <c r="D26" s="537" t="s">
        <v>185</v>
      </c>
      <c r="E26" s="538" t="s">
        <v>203</v>
      </c>
      <c r="F26" s="539">
        <v>4902</v>
      </c>
      <c r="G26" s="583"/>
      <c r="H26" s="584"/>
      <c r="I26" s="556">
        <v>0</v>
      </c>
      <c r="K26" s="529"/>
      <c r="L26" s="529"/>
      <c r="M26" s="529"/>
      <c r="N26" s="529"/>
      <c r="O26" s="529"/>
      <c r="P26" s="529"/>
    </row>
    <row r="27" spans="1:24" ht="14.4" customHeight="1" x14ac:dyDescent="0.3">
      <c r="A27" s="583"/>
      <c r="B27" s="738"/>
      <c r="C27" s="556" t="s">
        <v>137</v>
      </c>
      <c r="D27" s="583" t="s">
        <v>183</v>
      </c>
      <c r="E27" s="626" t="s">
        <v>274</v>
      </c>
      <c r="F27" s="556">
        <v>420.9</v>
      </c>
      <c r="G27" s="583"/>
      <c r="H27" s="584"/>
      <c r="I27" s="556">
        <v>0</v>
      </c>
      <c r="K27" s="529"/>
      <c r="L27" s="529"/>
      <c r="M27" s="529"/>
      <c r="N27" s="529"/>
      <c r="O27" s="529"/>
      <c r="P27" s="529"/>
    </row>
    <row r="28" spans="1:24" ht="14.4" customHeight="1" x14ac:dyDescent="0.3">
      <c r="A28" s="724" t="s">
        <v>322</v>
      </c>
      <c r="B28" s="749" t="s">
        <v>325</v>
      </c>
      <c r="C28" s="539">
        <v>1698</v>
      </c>
      <c r="D28" s="584" t="s">
        <v>222</v>
      </c>
      <c r="E28" s="621" t="s">
        <v>258</v>
      </c>
      <c r="F28" s="671">
        <v>238.52</v>
      </c>
      <c r="G28" s="670"/>
      <c r="H28" s="584"/>
      <c r="I28" s="556">
        <v>0</v>
      </c>
      <c r="K28" s="529"/>
      <c r="L28" s="529"/>
      <c r="M28" s="529"/>
      <c r="N28" s="529"/>
      <c r="O28" s="529"/>
      <c r="P28" s="529"/>
    </row>
    <row r="29" spans="1:24" ht="14.4" customHeight="1" x14ac:dyDescent="0.3">
      <c r="A29" s="583"/>
      <c r="B29" s="750"/>
      <c r="C29" s="668">
        <v>0</v>
      </c>
      <c r="D29" s="621" t="s">
        <v>257</v>
      </c>
      <c r="E29" s="621" t="s">
        <v>259</v>
      </c>
      <c r="F29" s="671">
        <v>1000</v>
      </c>
      <c r="G29" s="670"/>
      <c r="H29" s="584"/>
      <c r="I29" s="556">
        <v>0</v>
      </c>
      <c r="K29" s="529"/>
      <c r="L29" s="529"/>
      <c r="M29" s="529"/>
      <c r="N29" s="529"/>
      <c r="O29" s="529"/>
      <c r="P29" s="529"/>
    </row>
    <row r="30" spans="1:24" ht="14.4" customHeight="1" x14ac:dyDescent="0.3">
      <c r="A30" s="579" t="s">
        <v>318</v>
      </c>
      <c r="B30" s="580" t="s">
        <v>323</v>
      </c>
      <c r="C30" s="539">
        <v>357.5</v>
      </c>
      <c r="D30" s="621"/>
      <c r="E30" s="621"/>
      <c r="F30" s="671"/>
      <c r="G30" s="670"/>
      <c r="H30" s="584"/>
      <c r="I30" s="556"/>
      <c r="K30" s="529"/>
      <c r="L30" s="529"/>
      <c r="M30" s="529"/>
      <c r="N30" s="529"/>
      <c r="O30" s="529"/>
      <c r="P30" s="529"/>
    </row>
    <row r="31" spans="1:24" ht="14.4" customHeight="1" x14ac:dyDescent="0.3">
      <c r="A31" s="579" t="s">
        <v>319</v>
      </c>
      <c r="B31" s="580" t="s">
        <v>324</v>
      </c>
      <c r="C31" s="539">
        <v>550</v>
      </c>
      <c r="D31" s="621"/>
      <c r="E31" s="621"/>
      <c r="F31" s="671"/>
      <c r="G31" s="670"/>
      <c r="H31" s="584"/>
      <c r="I31" s="556"/>
      <c r="K31" s="529"/>
      <c r="L31" s="529"/>
      <c r="M31" s="529"/>
      <c r="N31" s="529"/>
      <c r="O31" s="529"/>
      <c r="P31" s="529"/>
    </row>
    <row r="32" spans="1:24" ht="14.4" customHeight="1" x14ac:dyDescent="0.25">
      <c r="A32" s="586" t="s">
        <v>137</v>
      </c>
      <c r="B32" s="587" t="s">
        <v>137</v>
      </c>
      <c r="C32" s="669">
        <f>SUM(C26:C31)</f>
        <v>4393.5</v>
      </c>
      <c r="D32" s="587" t="s">
        <v>260</v>
      </c>
      <c r="E32" s="587" t="s">
        <v>275</v>
      </c>
      <c r="F32" s="672">
        <v>750</v>
      </c>
      <c r="G32" s="588" t="s">
        <v>137</v>
      </c>
      <c r="H32" s="587" t="s">
        <v>137</v>
      </c>
      <c r="I32" s="585">
        <f>SUM(I26:I29)</f>
        <v>0</v>
      </c>
      <c r="K32" s="529"/>
      <c r="L32" s="529"/>
      <c r="M32" s="529"/>
      <c r="N32" s="529"/>
      <c r="O32" s="529"/>
      <c r="P32" s="529"/>
    </row>
    <row r="33" spans="1:16" ht="14.4" customHeight="1" x14ac:dyDescent="0.3">
      <c r="A33" s="582" t="s">
        <v>221</v>
      </c>
      <c r="B33" s="483"/>
      <c r="C33" s="483"/>
      <c r="D33" s="538"/>
      <c r="E33" s="538"/>
      <c r="F33" s="538"/>
      <c r="G33" s="589" t="s">
        <v>221</v>
      </c>
      <c r="H33" s="483"/>
      <c r="I33" s="484"/>
      <c r="K33" s="529"/>
      <c r="L33" s="529"/>
      <c r="M33" s="529"/>
      <c r="N33" s="529"/>
      <c r="O33" s="529"/>
      <c r="P33" s="529"/>
    </row>
    <row r="34" spans="1:16" ht="14.4" customHeight="1" x14ac:dyDescent="0.3">
      <c r="A34" s="544" t="s">
        <v>255</v>
      </c>
      <c r="B34" s="621" t="s">
        <v>256</v>
      </c>
      <c r="C34" s="668">
        <v>276</v>
      </c>
      <c r="D34" s="538"/>
      <c r="E34" s="538"/>
      <c r="F34" s="673">
        <f>SUM(F26:F33)</f>
        <v>7311.42</v>
      </c>
      <c r="G34" s="590"/>
      <c r="H34" s="538"/>
      <c r="I34" s="539"/>
      <c r="K34" s="529"/>
      <c r="L34" s="529"/>
      <c r="M34" s="529"/>
      <c r="N34" s="529"/>
      <c r="O34" s="529"/>
      <c r="P34" s="529"/>
    </row>
    <row r="35" spans="1:16" ht="14.4" customHeight="1" x14ac:dyDescent="0.3">
      <c r="A35" s="579" t="s">
        <v>292</v>
      </c>
      <c r="B35" s="580" t="s">
        <v>298</v>
      </c>
      <c r="C35" s="571">
        <v>320</v>
      </c>
      <c r="D35" s="746" t="s">
        <v>221</v>
      </c>
      <c r="E35" s="747"/>
      <c r="F35" s="748"/>
      <c r="G35" s="569"/>
      <c r="H35" s="538"/>
      <c r="I35" s="539"/>
    </row>
    <row r="36" spans="1:16" ht="14.4" customHeight="1" x14ac:dyDescent="0.25">
      <c r="A36" s="537" t="s">
        <v>301</v>
      </c>
      <c r="B36" s="538" t="s">
        <v>298</v>
      </c>
      <c r="C36" s="571">
        <v>1000</v>
      </c>
      <c r="D36" s="674" t="s">
        <v>182</v>
      </c>
      <c r="E36" s="538" t="s">
        <v>186</v>
      </c>
      <c r="F36" s="675">
        <v>4096.2</v>
      </c>
      <c r="G36" s="569"/>
      <c r="H36" s="538"/>
      <c r="I36" s="539"/>
    </row>
    <row r="37" spans="1:16" ht="14.4" customHeight="1" x14ac:dyDescent="0.25">
      <c r="A37" s="579" t="s">
        <v>309</v>
      </c>
      <c r="B37" s="580" t="s">
        <v>310</v>
      </c>
      <c r="C37" s="571">
        <v>371.45</v>
      </c>
      <c r="D37" s="538" t="s">
        <v>183</v>
      </c>
      <c r="E37" s="538" t="s">
        <v>187</v>
      </c>
      <c r="F37" s="675">
        <v>641.66</v>
      </c>
      <c r="G37" s="569"/>
      <c r="H37" s="538"/>
      <c r="I37" s="539"/>
    </row>
    <row r="38" spans="1:16" ht="14.4" customHeight="1" x14ac:dyDescent="0.25">
      <c r="A38" s="537" t="s">
        <v>314</v>
      </c>
      <c r="B38" s="538" t="s">
        <v>315</v>
      </c>
      <c r="C38" s="539">
        <v>700</v>
      </c>
      <c r="D38" s="537" t="s">
        <v>183</v>
      </c>
      <c r="E38" s="538" t="s">
        <v>204</v>
      </c>
      <c r="F38" s="539">
        <v>1566.78</v>
      </c>
      <c r="G38" s="537"/>
      <c r="H38" s="538"/>
      <c r="I38" s="539"/>
    </row>
    <row r="39" spans="1:16" ht="14.4" customHeight="1" x14ac:dyDescent="0.25">
      <c r="A39" s="537" t="s">
        <v>316</v>
      </c>
      <c r="B39" s="723" t="s">
        <v>317</v>
      </c>
      <c r="C39" s="571">
        <v>2280</v>
      </c>
      <c r="D39" s="537" t="s">
        <v>183</v>
      </c>
      <c r="E39" s="538" t="s">
        <v>181</v>
      </c>
      <c r="F39" s="539">
        <v>519.48</v>
      </c>
      <c r="G39" s="569"/>
      <c r="H39" s="538"/>
      <c r="I39" s="539"/>
    </row>
    <row r="40" spans="1:16" ht="14.4" customHeight="1" x14ac:dyDescent="0.25">
      <c r="A40" s="579" t="s">
        <v>320</v>
      </c>
      <c r="B40" s="580" t="s">
        <v>321</v>
      </c>
      <c r="C40" s="539">
        <v>2000</v>
      </c>
      <c r="D40" s="537" t="s">
        <v>184</v>
      </c>
      <c r="E40" s="538" t="s">
        <v>188</v>
      </c>
      <c r="F40" s="539">
        <v>4096.2</v>
      </c>
      <c r="G40" s="537"/>
      <c r="H40" s="538"/>
      <c r="I40" s="539"/>
    </row>
    <row r="41" spans="1:16" ht="14.4" customHeight="1" x14ac:dyDescent="0.25">
      <c r="A41" s="579"/>
      <c r="B41" s="580"/>
      <c r="C41" s="539"/>
      <c r="D41" s="580" t="s">
        <v>225</v>
      </c>
      <c r="E41" s="580" t="s">
        <v>226</v>
      </c>
      <c r="F41" s="600">
        <v>1800</v>
      </c>
      <c r="G41" s="537"/>
      <c r="H41" s="538"/>
      <c r="I41" s="539"/>
    </row>
    <row r="42" spans="1:16" ht="14.4" customHeight="1" x14ac:dyDescent="0.25">
      <c r="D42" s="579" t="s">
        <v>292</v>
      </c>
      <c r="E42" s="580" t="s">
        <v>293</v>
      </c>
      <c r="F42" s="539">
        <v>5610</v>
      </c>
      <c r="G42" s="537"/>
      <c r="H42" s="538"/>
      <c r="I42" s="539"/>
    </row>
    <row r="43" spans="1:16" ht="14.4" customHeight="1" x14ac:dyDescent="0.3">
      <c r="D43" s="540"/>
      <c r="E43" s="541"/>
      <c r="F43" s="539"/>
      <c r="G43" s="540"/>
      <c r="H43" s="541"/>
      <c r="I43" s="539"/>
    </row>
    <row r="44" spans="1:16" ht="14.4" customHeight="1" thickBot="1" x14ac:dyDescent="0.35">
      <c r="A44" s="547"/>
      <c r="B44" s="548"/>
      <c r="C44" s="549">
        <f>SUM(C34:C43)</f>
        <v>6947.45</v>
      </c>
      <c r="D44" s="547"/>
      <c r="E44" s="548"/>
      <c r="F44" s="549">
        <f>SUM(F36:F43)</f>
        <v>18330.32</v>
      </c>
      <c r="G44" s="547"/>
      <c r="H44" s="548"/>
      <c r="I44" s="549">
        <f>SUM(I34:I43)</f>
        <v>0</v>
      </c>
    </row>
    <row r="45" spans="1:16" ht="14.4" customHeight="1" thickBot="1" x14ac:dyDescent="0.3">
      <c r="C45" s="550"/>
      <c r="F45" s="550"/>
      <c r="J45" s="550"/>
    </row>
    <row r="46" spans="1:16" ht="14.4" customHeight="1" x14ac:dyDescent="0.3">
      <c r="A46" s="742" t="s">
        <v>166</v>
      </c>
      <c r="B46" s="743"/>
      <c r="C46" s="744"/>
      <c r="D46" s="742" t="s">
        <v>167</v>
      </c>
      <c r="E46" s="743"/>
      <c r="F46" s="744"/>
      <c r="G46" s="739" t="s">
        <v>168</v>
      </c>
      <c r="H46" s="740"/>
      <c r="I46" s="741"/>
    </row>
    <row r="47" spans="1:16" ht="14.4" customHeight="1" x14ac:dyDescent="0.25">
      <c r="A47" s="586" t="s">
        <v>137</v>
      </c>
      <c r="B47" s="587" t="s">
        <v>137</v>
      </c>
      <c r="C47" s="585">
        <f>+C54+C65</f>
        <v>6304.5</v>
      </c>
      <c r="D47" s="586" t="s">
        <v>137</v>
      </c>
      <c r="E47" s="587" t="s">
        <v>137</v>
      </c>
      <c r="F47" s="585">
        <f>+F54+F65</f>
        <v>0</v>
      </c>
      <c r="G47" s="586" t="s">
        <v>137</v>
      </c>
      <c r="H47" s="587" t="s">
        <v>137</v>
      </c>
      <c r="I47" s="585">
        <f>+I54+I65</f>
        <v>4648.5</v>
      </c>
    </row>
    <row r="48" spans="1:16" ht="14.4" customHeight="1" x14ac:dyDescent="0.25">
      <c r="A48" s="542" t="s">
        <v>164</v>
      </c>
      <c r="B48" s="543" t="s">
        <v>165</v>
      </c>
      <c r="C48" s="484"/>
      <c r="D48" s="542" t="s">
        <v>164</v>
      </c>
      <c r="E48" s="543" t="s">
        <v>165</v>
      </c>
      <c r="F48" s="484"/>
      <c r="G48" s="542" t="s">
        <v>164</v>
      </c>
      <c r="H48" s="543" t="s">
        <v>165</v>
      </c>
      <c r="I48" s="484"/>
    </row>
    <row r="49" spans="1:9" ht="14.4" customHeight="1" x14ac:dyDescent="0.3">
      <c r="A49" s="540" t="s">
        <v>220</v>
      </c>
      <c r="B49" s="584"/>
      <c r="C49" s="556"/>
      <c r="D49" s="540" t="s">
        <v>220</v>
      </c>
      <c r="E49" s="584"/>
      <c r="F49" s="556"/>
      <c r="G49" s="540" t="s">
        <v>220</v>
      </c>
      <c r="H49" s="584"/>
      <c r="I49" s="556"/>
    </row>
    <row r="50" spans="1:9" ht="14.4" customHeight="1" x14ac:dyDescent="0.3">
      <c r="A50" s="581" t="s">
        <v>318</v>
      </c>
      <c r="B50" s="580" t="s">
        <v>326</v>
      </c>
      <c r="C50" s="539">
        <v>1097.5</v>
      </c>
      <c r="D50" s="583"/>
      <c r="E50" s="584"/>
      <c r="F50" s="556">
        <v>0</v>
      </c>
      <c r="G50" s="583"/>
      <c r="H50" s="584"/>
      <c r="I50" s="556">
        <v>0</v>
      </c>
    </row>
    <row r="51" spans="1:9" ht="14.4" customHeight="1" x14ac:dyDescent="0.3">
      <c r="A51" s="724" t="s">
        <v>328</v>
      </c>
      <c r="B51" s="725" t="s">
        <v>327</v>
      </c>
      <c r="C51" s="556">
        <v>178.5</v>
      </c>
      <c r="D51" s="583"/>
      <c r="E51" s="584"/>
      <c r="F51" s="556">
        <v>0</v>
      </c>
      <c r="G51" s="583"/>
      <c r="H51" s="584"/>
      <c r="I51" s="556">
        <v>0</v>
      </c>
    </row>
    <row r="52" spans="1:9" ht="14.4" customHeight="1" x14ac:dyDescent="0.3">
      <c r="A52" s="724" t="s">
        <v>329</v>
      </c>
      <c r="B52" s="725" t="s">
        <v>330</v>
      </c>
      <c r="C52" s="556">
        <v>1453.5</v>
      </c>
      <c r="D52" s="583"/>
      <c r="E52" s="584"/>
      <c r="F52" s="556">
        <v>0</v>
      </c>
      <c r="G52" s="583"/>
      <c r="H52" s="584"/>
      <c r="I52" s="556">
        <v>0</v>
      </c>
    </row>
    <row r="53" spans="1:9" ht="14.4" customHeight="1" x14ac:dyDescent="0.3">
      <c r="A53" s="583"/>
      <c r="B53" s="584"/>
      <c r="C53" s="556">
        <v>0</v>
      </c>
      <c r="D53" s="583"/>
      <c r="E53" s="584"/>
      <c r="F53" s="556">
        <v>0</v>
      </c>
      <c r="G53" s="583"/>
      <c r="H53" s="584"/>
      <c r="I53" s="556">
        <v>0</v>
      </c>
    </row>
    <row r="54" spans="1:9" ht="14.4" customHeight="1" x14ac:dyDescent="0.25">
      <c r="A54" s="586" t="s">
        <v>137</v>
      </c>
      <c r="B54" s="587" t="s">
        <v>137</v>
      </c>
      <c r="C54" s="585">
        <f>SUM(C50:C53)</f>
        <v>2729.5</v>
      </c>
      <c r="D54" s="586" t="s">
        <v>137</v>
      </c>
      <c r="E54" s="587" t="s">
        <v>137</v>
      </c>
      <c r="F54" s="585">
        <f>SUM(F50:F53)</f>
        <v>0</v>
      </c>
      <c r="G54" s="586" t="s">
        <v>137</v>
      </c>
      <c r="H54" s="587" t="s">
        <v>137</v>
      </c>
      <c r="I54" s="585">
        <f>SUM(I50:I53)</f>
        <v>0</v>
      </c>
    </row>
    <row r="55" spans="1:9" ht="14.4" customHeight="1" x14ac:dyDescent="0.3">
      <c r="A55" s="582" t="s">
        <v>221</v>
      </c>
      <c r="B55" s="483"/>
      <c r="C55" s="484"/>
      <c r="D55" s="582" t="s">
        <v>221</v>
      </c>
      <c r="E55" s="483"/>
      <c r="F55" s="484"/>
      <c r="G55" s="582" t="s">
        <v>221</v>
      </c>
      <c r="H55" s="483"/>
      <c r="I55" s="484"/>
    </row>
    <row r="56" spans="1:9" ht="31.2" customHeight="1" x14ac:dyDescent="0.25">
      <c r="A56" s="581" t="s">
        <v>242</v>
      </c>
      <c r="B56" s="580" t="s">
        <v>244</v>
      </c>
      <c r="C56" s="539">
        <v>75</v>
      </c>
      <c r="D56" s="544"/>
      <c r="E56" s="538"/>
      <c r="F56" s="539"/>
      <c r="G56" s="537" t="s">
        <v>265</v>
      </c>
      <c r="H56" s="676" t="s">
        <v>266</v>
      </c>
      <c r="I56" s="539">
        <v>150</v>
      </c>
    </row>
    <row r="57" spans="1:9" ht="14.4" customHeight="1" x14ac:dyDescent="0.3">
      <c r="A57" s="617" t="s">
        <v>243</v>
      </c>
      <c r="B57" s="618" t="s">
        <v>244</v>
      </c>
      <c r="C57" s="556">
        <v>75</v>
      </c>
      <c r="G57" s="579" t="s">
        <v>318</v>
      </c>
      <c r="H57" s="580" t="s">
        <v>327</v>
      </c>
      <c r="I57" s="539">
        <v>178.5</v>
      </c>
    </row>
    <row r="58" spans="1:9" ht="31.2" customHeight="1" x14ac:dyDescent="0.25">
      <c r="A58" s="537" t="s">
        <v>265</v>
      </c>
      <c r="B58" s="625" t="s">
        <v>266</v>
      </c>
      <c r="C58" s="539">
        <v>375</v>
      </c>
      <c r="D58" s="537"/>
      <c r="E58" s="538"/>
      <c r="F58" s="539"/>
      <c r="G58" s="579" t="s">
        <v>335</v>
      </c>
      <c r="H58" s="580" t="s">
        <v>336</v>
      </c>
      <c r="I58" s="539">
        <v>4320</v>
      </c>
    </row>
    <row r="59" spans="1:9" ht="18.600000000000001" customHeight="1" x14ac:dyDescent="0.25">
      <c r="A59" s="579" t="s">
        <v>309</v>
      </c>
      <c r="B59" s="676" t="s">
        <v>331</v>
      </c>
      <c r="C59" s="539">
        <v>1600</v>
      </c>
      <c r="D59" s="537"/>
      <c r="E59" s="538"/>
      <c r="F59" s="539"/>
      <c r="G59" s="537"/>
      <c r="H59" s="538"/>
      <c r="I59" s="539"/>
    </row>
    <row r="60" spans="1:9" ht="14.4" customHeight="1" x14ac:dyDescent="0.25">
      <c r="A60" s="579" t="s">
        <v>319</v>
      </c>
      <c r="B60" s="676" t="s">
        <v>332</v>
      </c>
      <c r="C60" s="539">
        <v>1100</v>
      </c>
      <c r="D60" s="537"/>
      <c r="E60" s="538"/>
      <c r="F60" s="539"/>
      <c r="G60" s="537"/>
      <c r="H60" s="538"/>
      <c r="I60" s="539"/>
    </row>
    <row r="61" spans="1:9" ht="17.399999999999999" customHeight="1" x14ac:dyDescent="0.25">
      <c r="A61" s="579" t="s">
        <v>333</v>
      </c>
      <c r="B61" s="678" t="s">
        <v>334</v>
      </c>
      <c r="C61" s="539">
        <v>350</v>
      </c>
      <c r="D61" s="537"/>
      <c r="E61" s="538"/>
      <c r="F61" s="539"/>
      <c r="G61" s="537"/>
      <c r="H61" s="538"/>
      <c r="I61" s="539"/>
    </row>
    <row r="62" spans="1:9" ht="14.4" customHeight="1" x14ac:dyDescent="0.25">
      <c r="A62" s="537"/>
      <c r="B62" s="538"/>
      <c r="C62" s="539"/>
      <c r="D62" s="537"/>
      <c r="E62" s="538"/>
      <c r="F62" s="539"/>
      <c r="G62" s="537"/>
      <c r="H62" s="538"/>
      <c r="I62" s="539"/>
    </row>
    <row r="63" spans="1:9" ht="14.4" customHeight="1" x14ac:dyDescent="0.25">
      <c r="A63" s="537"/>
      <c r="B63" s="538"/>
      <c r="C63" s="539"/>
      <c r="D63" s="537"/>
      <c r="E63" s="538"/>
      <c r="F63" s="539"/>
      <c r="G63" s="537"/>
      <c r="H63" s="538"/>
      <c r="I63" s="539"/>
    </row>
    <row r="64" spans="1:9" ht="14.4" customHeight="1" x14ac:dyDescent="0.3">
      <c r="A64" s="540"/>
      <c r="B64" s="541"/>
      <c r="C64" s="539"/>
      <c r="D64" s="540"/>
      <c r="E64" s="541"/>
      <c r="F64" s="539"/>
      <c r="G64" s="540"/>
      <c r="H64" s="541"/>
      <c r="I64" s="539"/>
    </row>
    <row r="65" spans="1:10" ht="14.4" customHeight="1" thickBot="1" x14ac:dyDescent="0.35">
      <c r="A65" s="547"/>
      <c r="B65" s="548"/>
      <c r="C65" s="549">
        <f>SUM(C56:C64)</f>
        <v>3575</v>
      </c>
      <c r="D65" s="547"/>
      <c r="E65" s="548"/>
      <c r="F65" s="549">
        <f>SUM(F56:F64)</f>
        <v>0</v>
      </c>
      <c r="G65" s="547"/>
      <c r="H65" s="548"/>
      <c r="I65" s="549">
        <f>SUM(I56:I64)</f>
        <v>4648.5</v>
      </c>
      <c r="J65" s="482"/>
    </row>
    <row r="66" spans="1:10" ht="14.4" customHeight="1" thickBot="1" x14ac:dyDescent="0.3"/>
    <row r="67" spans="1:10" ht="14.4" customHeight="1" x14ac:dyDescent="0.3">
      <c r="A67" s="742" t="s">
        <v>169</v>
      </c>
      <c r="B67" s="743"/>
      <c r="C67" s="744"/>
      <c r="D67" s="745" t="s">
        <v>170</v>
      </c>
      <c r="E67" s="743"/>
      <c r="F67" s="744"/>
      <c r="G67" s="739" t="s">
        <v>171</v>
      </c>
      <c r="H67" s="740"/>
      <c r="I67" s="741"/>
    </row>
    <row r="68" spans="1:10" ht="14.4" customHeight="1" x14ac:dyDescent="0.25">
      <c r="A68" s="586" t="s">
        <v>137</v>
      </c>
      <c r="B68" s="587" t="s">
        <v>137</v>
      </c>
      <c r="C68" s="585">
        <f>+C75+C87</f>
        <v>150</v>
      </c>
      <c r="D68" s="588" t="s">
        <v>137</v>
      </c>
      <c r="E68" s="587" t="s">
        <v>137</v>
      </c>
      <c r="F68" s="585">
        <f>+F82+F87</f>
        <v>5900</v>
      </c>
      <c r="G68" s="586" t="s">
        <v>137</v>
      </c>
      <c r="H68" s="587" t="s">
        <v>137</v>
      </c>
      <c r="I68" s="585">
        <f>+I75+I87</f>
        <v>4175.5</v>
      </c>
    </row>
    <row r="69" spans="1:10" ht="14.4" customHeight="1" x14ac:dyDescent="0.25">
      <c r="A69" s="542" t="s">
        <v>164</v>
      </c>
      <c r="B69" s="543" t="s">
        <v>165</v>
      </c>
      <c r="C69" s="484"/>
      <c r="D69" s="591" t="s">
        <v>164</v>
      </c>
      <c r="E69" s="543" t="s">
        <v>165</v>
      </c>
      <c r="F69" s="484"/>
      <c r="G69" s="542" t="s">
        <v>164</v>
      </c>
      <c r="H69" s="543" t="s">
        <v>165</v>
      </c>
      <c r="I69" s="484"/>
    </row>
    <row r="70" spans="1:10" ht="14.4" customHeight="1" x14ac:dyDescent="0.3">
      <c r="A70" s="540" t="s">
        <v>220</v>
      </c>
      <c r="B70" s="584"/>
      <c r="C70" s="556"/>
      <c r="D70" s="570" t="s">
        <v>220</v>
      </c>
      <c r="E70" s="584"/>
      <c r="F70" s="556"/>
      <c r="G70" s="540" t="s">
        <v>220</v>
      </c>
      <c r="H70" s="584"/>
      <c r="I70" s="556"/>
    </row>
    <row r="71" spans="1:10" ht="14.4" customHeight="1" x14ac:dyDescent="0.3">
      <c r="A71" s="620" t="s">
        <v>261</v>
      </c>
      <c r="B71" s="621" t="s">
        <v>262</v>
      </c>
      <c r="C71" s="556">
        <v>150</v>
      </c>
      <c r="D71" s="590" t="s">
        <v>189</v>
      </c>
      <c r="E71" s="538" t="s">
        <v>190</v>
      </c>
      <c r="F71" s="539">
        <v>300</v>
      </c>
      <c r="G71" s="544" t="s">
        <v>193</v>
      </c>
      <c r="H71" s="538" t="s">
        <v>194</v>
      </c>
      <c r="I71" s="539">
        <v>550</v>
      </c>
    </row>
    <row r="72" spans="1:10" ht="14.4" customHeight="1" x14ac:dyDescent="0.3">
      <c r="A72" s="583"/>
      <c r="B72" s="584"/>
      <c r="C72" s="556">
        <v>0</v>
      </c>
      <c r="D72" s="569" t="s">
        <v>191</v>
      </c>
      <c r="E72" s="538" t="s">
        <v>192</v>
      </c>
      <c r="F72" s="539">
        <v>130</v>
      </c>
      <c r="G72" s="545" t="s">
        <v>195</v>
      </c>
      <c r="H72" s="546" t="s">
        <v>196</v>
      </c>
      <c r="I72" s="539">
        <v>930</v>
      </c>
    </row>
    <row r="73" spans="1:10" ht="14.4" customHeight="1" x14ac:dyDescent="0.3">
      <c r="A73" s="583"/>
      <c r="B73" s="584"/>
      <c r="C73" s="556">
        <v>0</v>
      </c>
      <c r="D73" s="593" t="s">
        <v>214</v>
      </c>
      <c r="E73" s="580" t="s">
        <v>215</v>
      </c>
      <c r="F73" s="539">
        <v>500</v>
      </c>
      <c r="G73" s="545" t="s">
        <v>137</v>
      </c>
      <c r="H73" s="546" t="s">
        <v>137</v>
      </c>
      <c r="I73" s="539">
        <v>0</v>
      </c>
    </row>
    <row r="74" spans="1:10" ht="14.4" customHeight="1" x14ac:dyDescent="0.3">
      <c r="A74" s="583"/>
      <c r="B74" s="584"/>
      <c r="C74" s="556">
        <v>0</v>
      </c>
      <c r="D74" s="594" t="s">
        <v>227</v>
      </c>
      <c r="E74" s="595" t="s">
        <v>228</v>
      </c>
      <c r="F74" s="556">
        <v>1475</v>
      </c>
      <c r="G74" s="583"/>
      <c r="H74" s="584"/>
      <c r="I74" s="556">
        <v>0</v>
      </c>
    </row>
    <row r="75" spans="1:10" ht="14.4" customHeight="1" x14ac:dyDescent="0.25">
      <c r="A75" s="586" t="s">
        <v>137</v>
      </c>
      <c r="B75" s="587" t="s">
        <v>137</v>
      </c>
      <c r="C75" s="585">
        <f>SUM(C71:C74)</f>
        <v>150</v>
      </c>
      <c r="D75" s="579" t="s">
        <v>227</v>
      </c>
      <c r="E75" s="596" t="s">
        <v>229</v>
      </c>
      <c r="F75" s="597">
        <v>1200</v>
      </c>
      <c r="G75" s="586" t="s">
        <v>137</v>
      </c>
      <c r="H75" s="587" t="s">
        <v>137</v>
      </c>
      <c r="I75" s="585">
        <f>SUM(I71:I74)</f>
        <v>1480</v>
      </c>
    </row>
    <row r="76" spans="1:10" ht="14.4" customHeight="1" x14ac:dyDescent="0.3">
      <c r="A76" s="582" t="s">
        <v>221</v>
      </c>
      <c r="B76" s="483"/>
      <c r="C76" s="484"/>
      <c r="D76" s="579" t="s">
        <v>230</v>
      </c>
      <c r="E76" s="596" t="s">
        <v>239</v>
      </c>
      <c r="F76" s="597">
        <v>1150</v>
      </c>
      <c r="G76" s="582" t="s">
        <v>221</v>
      </c>
      <c r="H76" s="483"/>
      <c r="I76" s="484"/>
    </row>
    <row r="77" spans="1:10" ht="14.4" customHeight="1" x14ac:dyDescent="0.25">
      <c r="A77" s="544"/>
      <c r="B77" s="538"/>
      <c r="C77" s="539"/>
      <c r="D77" s="619" t="s">
        <v>245</v>
      </c>
      <c r="E77" s="580" t="s">
        <v>246</v>
      </c>
      <c r="F77" s="539">
        <v>300</v>
      </c>
      <c r="G77" s="545" t="s">
        <v>231</v>
      </c>
      <c r="H77" s="546" t="s">
        <v>232</v>
      </c>
      <c r="I77" s="539">
        <v>1842</v>
      </c>
    </row>
    <row r="78" spans="1:10" ht="28.2" customHeight="1" x14ac:dyDescent="0.25">
      <c r="A78" s="537"/>
      <c r="B78" s="538"/>
      <c r="C78" s="539"/>
      <c r="D78" s="544" t="s">
        <v>267</v>
      </c>
      <c r="E78" s="625" t="s">
        <v>268</v>
      </c>
      <c r="F78" s="539">
        <v>420</v>
      </c>
      <c r="G78" s="569" t="s">
        <v>265</v>
      </c>
      <c r="H78" s="569" t="s">
        <v>270</v>
      </c>
      <c r="I78" s="539">
        <v>250</v>
      </c>
    </row>
    <row r="79" spans="1:10" ht="14.4" customHeight="1" x14ac:dyDescent="0.25">
      <c r="A79" s="537"/>
      <c r="B79" s="538"/>
      <c r="C79" s="539"/>
      <c r="D79" s="667" t="s">
        <v>337</v>
      </c>
      <c r="E79" s="727" t="s">
        <v>338</v>
      </c>
      <c r="F79" s="728">
        <v>350</v>
      </c>
      <c r="G79" s="537" t="s">
        <v>302</v>
      </c>
      <c r="H79" s="538" t="s">
        <v>303</v>
      </c>
      <c r="I79" s="539">
        <v>425</v>
      </c>
    </row>
    <row r="80" spans="1:10" ht="14.4" customHeight="1" x14ac:dyDescent="0.25">
      <c r="A80" s="537"/>
      <c r="B80" s="538"/>
      <c r="C80" s="539"/>
      <c r="G80" s="579" t="s">
        <v>318</v>
      </c>
      <c r="H80" s="580" t="s">
        <v>327</v>
      </c>
      <c r="I80" s="539">
        <v>178.5</v>
      </c>
    </row>
    <row r="81" spans="1:10" ht="14.4" customHeight="1" x14ac:dyDescent="0.25">
      <c r="A81" s="537"/>
      <c r="B81" s="538"/>
      <c r="C81" s="539"/>
      <c r="D81" s="569"/>
      <c r="E81" s="538"/>
      <c r="F81" s="539"/>
      <c r="G81" s="537"/>
      <c r="H81" s="538"/>
      <c r="I81" s="539"/>
    </row>
    <row r="82" spans="1:10" ht="14.4" customHeight="1" x14ac:dyDescent="0.25">
      <c r="A82" s="537"/>
      <c r="B82" s="538"/>
      <c r="C82" s="539"/>
      <c r="D82" s="588" t="s">
        <v>137</v>
      </c>
      <c r="E82" s="587" t="s">
        <v>137</v>
      </c>
      <c r="F82" s="585">
        <f>SUM(F71:F79)</f>
        <v>5825</v>
      </c>
      <c r="G82" s="537"/>
      <c r="H82" s="538"/>
      <c r="I82" s="539"/>
    </row>
    <row r="83" spans="1:10" ht="14.4" customHeight="1" x14ac:dyDescent="0.3">
      <c r="A83" s="537"/>
      <c r="B83" s="538"/>
      <c r="C83" s="539"/>
      <c r="D83" s="589" t="s">
        <v>221</v>
      </c>
      <c r="E83" s="483"/>
      <c r="F83" s="484"/>
      <c r="G83" s="537"/>
      <c r="H83" s="538"/>
      <c r="I83" s="539"/>
    </row>
    <row r="84" spans="1:10" ht="14.4" customHeight="1" x14ac:dyDescent="0.25">
      <c r="A84" s="537"/>
      <c r="B84" s="538"/>
      <c r="C84" s="539"/>
      <c r="D84" s="569" t="s">
        <v>265</v>
      </c>
      <c r="E84" s="538" t="s">
        <v>269</v>
      </c>
      <c r="F84" s="539">
        <v>75</v>
      </c>
      <c r="G84" s="537"/>
      <c r="H84" s="538"/>
      <c r="I84" s="539"/>
    </row>
    <row r="85" spans="1:10" ht="14.4" customHeight="1" x14ac:dyDescent="0.25">
      <c r="A85" s="537"/>
      <c r="B85" s="538"/>
      <c r="C85" s="539"/>
      <c r="D85" s="569"/>
      <c r="E85" s="538"/>
      <c r="F85" s="539"/>
      <c r="G85" s="537"/>
      <c r="H85" s="538"/>
      <c r="I85" s="539"/>
    </row>
    <row r="86" spans="1:10" ht="14.4" customHeight="1" x14ac:dyDescent="0.3">
      <c r="A86" s="540"/>
      <c r="B86" s="541"/>
      <c r="C86" s="539"/>
      <c r="D86" s="570"/>
      <c r="E86" s="541"/>
      <c r="F86" s="539"/>
      <c r="G86" s="540"/>
      <c r="H86" s="541"/>
      <c r="I86" s="539"/>
    </row>
    <row r="87" spans="1:10" ht="14.4" customHeight="1" thickBot="1" x14ac:dyDescent="0.35">
      <c r="A87" s="547"/>
      <c r="B87" s="548"/>
      <c r="C87" s="549">
        <f>SUM(C77:C86)</f>
        <v>0</v>
      </c>
      <c r="D87" s="592"/>
      <c r="E87" s="548"/>
      <c r="F87" s="549">
        <f>SUM(F83:F86)</f>
        <v>75</v>
      </c>
      <c r="G87" s="547"/>
      <c r="H87" s="548"/>
      <c r="I87" s="549">
        <f>SUM(I77:I86)</f>
        <v>2695.5</v>
      </c>
    </row>
    <row r="88" spans="1:10" ht="14.4" customHeight="1" thickBot="1" x14ac:dyDescent="0.3">
      <c r="C88" s="550"/>
      <c r="F88" s="550"/>
      <c r="J88" s="550"/>
    </row>
    <row r="89" spans="1:10" ht="14.4" customHeight="1" x14ac:dyDescent="0.3">
      <c r="A89" s="742" t="s">
        <v>172</v>
      </c>
      <c r="B89" s="743"/>
      <c r="C89" s="744"/>
      <c r="D89" s="742" t="s">
        <v>173</v>
      </c>
      <c r="E89" s="743"/>
      <c r="F89" s="744"/>
      <c r="G89" s="739" t="s">
        <v>174</v>
      </c>
      <c r="H89" s="740"/>
      <c r="I89" s="741"/>
    </row>
    <row r="90" spans="1:10" ht="14.4" customHeight="1" x14ac:dyDescent="0.25">
      <c r="A90" s="586" t="s">
        <v>137</v>
      </c>
      <c r="B90" s="587" t="s">
        <v>137</v>
      </c>
      <c r="C90" s="585">
        <f>+C97+C108</f>
        <v>-1961.9499999999998</v>
      </c>
      <c r="D90" s="586" t="s">
        <v>137</v>
      </c>
      <c r="E90" s="587" t="s">
        <v>137</v>
      </c>
      <c r="F90" s="585">
        <f>+F97+F108</f>
        <v>8185.98</v>
      </c>
      <c r="G90" s="586" t="s">
        <v>137</v>
      </c>
      <c r="H90" s="587" t="s">
        <v>137</v>
      </c>
      <c r="I90" s="585">
        <f>+I97+I108</f>
        <v>-1640</v>
      </c>
    </row>
    <row r="91" spans="1:10" ht="14.4" customHeight="1" x14ac:dyDescent="0.25">
      <c r="A91" s="542" t="s">
        <v>164</v>
      </c>
      <c r="B91" s="543" t="s">
        <v>165</v>
      </c>
      <c r="C91" s="484"/>
      <c r="D91" s="542" t="s">
        <v>164</v>
      </c>
      <c r="E91" s="543" t="s">
        <v>165</v>
      </c>
      <c r="F91" s="484"/>
      <c r="G91" s="542" t="s">
        <v>164</v>
      </c>
      <c r="H91" s="543" t="s">
        <v>165</v>
      </c>
      <c r="I91" s="484"/>
    </row>
    <row r="92" spans="1:10" ht="14.4" customHeight="1" x14ac:dyDescent="0.3">
      <c r="A92" s="540" t="s">
        <v>220</v>
      </c>
      <c r="B92" s="584"/>
      <c r="C92" s="556"/>
      <c r="D92" s="540" t="s">
        <v>220</v>
      </c>
      <c r="E92" s="584"/>
      <c r="F92" s="556"/>
      <c r="G92" s="540" t="s">
        <v>220</v>
      </c>
      <c r="H92" s="584"/>
      <c r="I92" s="556"/>
    </row>
    <row r="93" spans="1:10" ht="14.4" customHeight="1" x14ac:dyDescent="0.3">
      <c r="A93" s="617" t="s">
        <v>249</v>
      </c>
      <c r="B93" s="617" t="s">
        <v>250</v>
      </c>
      <c r="C93" s="556">
        <v>463</v>
      </c>
      <c r="D93" s="537" t="s">
        <v>198</v>
      </c>
      <c r="E93" s="538" t="s">
        <v>200</v>
      </c>
      <c r="F93" s="539">
        <v>288</v>
      </c>
      <c r="G93" s="583"/>
      <c r="H93" s="584"/>
      <c r="I93" s="556">
        <v>0</v>
      </c>
    </row>
    <row r="94" spans="1:10" ht="14.4" customHeight="1" x14ac:dyDescent="0.3">
      <c r="A94" s="724" t="s">
        <v>320</v>
      </c>
      <c r="B94" s="725" t="s">
        <v>341</v>
      </c>
      <c r="C94" s="556">
        <v>940</v>
      </c>
      <c r="D94" s="579" t="s">
        <v>218</v>
      </c>
      <c r="E94" s="580" t="s">
        <v>219</v>
      </c>
      <c r="F94" s="539">
        <v>124.32</v>
      </c>
      <c r="G94" s="583"/>
      <c r="H94" s="584"/>
      <c r="I94" s="556">
        <v>0</v>
      </c>
    </row>
    <row r="95" spans="1:10" ht="14.4" customHeight="1" x14ac:dyDescent="0.3">
      <c r="A95" s="583"/>
      <c r="B95" s="584"/>
      <c r="C95" s="556">
        <v>0</v>
      </c>
      <c r="D95" s="579" t="s">
        <v>309</v>
      </c>
      <c r="E95" s="580" t="s">
        <v>311</v>
      </c>
      <c r="F95" s="539">
        <v>595</v>
      </c>
      <c r="G95" s="583"/>
      <c r="H95" s="584"/>
      <c r="I95" s="556">
        <v>0</v>
      </c>
    </row>
    <row r="96" spans="1:10" ht="14.4" customHeight="1" x14ac:dyDescent="0.3">
      <c r="A96" s="583"/>
      <c r="B96" s="584"/>
      <c r="C96" s="556">
        <v>0</v>
      </c>
      <c r="D96" s="583"/>
      <c r="E96" s="584"/>
      <c r="F96" s="556">
        <v>0</v>
      </c>
      <c r="G96" s="583"/>
      <c r="H96" s="584"/>
      <c r="I96" s="556">
        <v>0</v>
      </c>
    </row>
    <row r="97" spans="1:10" ht="14.4" customHeight="1" x14ac:dyDescent="0.25">
      <c r="A97" s="586" t="s">
        <v>137</v>
      </c>
      <c r="B97" s="587" t="s">
        <v>137</v>
      </c>
      <c r="C97" s="585">
        <f>SUM(C93:C96)</f>
        <v>1403</v>
      </c>
      <c r="D97" s="586" t="s">
        <v>137</v>
      </c>
      <c r="E97" s="587" t="s">
        <v>137</v>
      </c>
      <c r="F97" s="585">
        <f>SUM(F93:F96)</f>
        <v>1007.3199999999999</v>
      </c>
      <c r="G97" s="586" t="s">
        <v>137</v>
      </c>
      <c r="H97" s="587" t="s">
        <v>137</v>
      </c>
      <c r="I97" s="585">
        <f>SUM(I93:I96)</f>
        <v>0</v>
      </c>
    </row>
    <row r="98" spans="1:10" ht="14.4" customHeight="1" x14ac:dyDescent="0.3">
      <c r="A98" s="582" t="s">
        <v>221</v>
      </c>
      <c r="B98" s="483"/>
      <c r="C98" s="484"/>
      <c r="D98" s="582" t="s">
        <v>221</v>
      </c>
      <c r="E98" s="483"/>
      <c r="F98" s="484"/>
      <c r="G98" s="582" t="s">
        <v>221</v>
      </c>
      <c r="H98" s="483"/>
      <c r="I98" s="484"/>
    </row>
    <row r="99" spans="1:10" ht="24.6" customHeight="1" x14ac:dyDescent="0.25">
      <c r="A99" s="581" t="s">
        <v>216</v>
      </c>
      <c r="B99" s="580" t="s">
        <v>217</v>
      </c>
      <c r="C99" s="539">
        <v>225</v>
      </c>
      <c r="D99" t="s">
        <v>263</v>
      </c>
      <c r="E99" t="s">
        <v>264</v>
      </c>
      <c r="F99" s="622">
        <v>168</v>
      </c>
      <c r="G99" s="581" t="s">
        <v>292</v>
      </c>
      <c r="H99" s="684" t="s">
        <v>295</v>
      </c>
      <c r="I99" s="556">
        <v>-1640</v>
      </c>
    </row>
    <row r="100" spans="1:10" ht="14.4" customHeight="1" x14ac:dyDescent="0.25">
      <c r="A100" s="579" t="s">
        <v>247</v>
      </c>
      <c r="B100" s="580" t="s">
        <v>248</v>
      </c>
      <c r="C100" s="539">
        <v>660</v>
      </c>
      <c r="D100" s="544" t="s">
        <v>197</v>
      </c>
      <c r="E100" s="538" t="s">
        <v>199</v>
      </c>
      <c r="F100" s="539">
        <v>1458.16</v>
      </c>
      <c r="G100" s="544"/>
      <c r="H100" s="538"/>
      <c r="I100" s="539"/>
    </row>
    <row r="101" spans="1:10" ht="14.4" customHeight="1" x14ac:dyDescent="0.25">
      <c r="A101" s="537" t="s">
        <v>265</v>
      </c>
      <c r="B101" s="538" t="s">
        <v>271</v>
      </c>
      <c r="C101" s="539">
        <v>375</v>
      </c>
      <c r="D101" s="579" t="s">
        <v>223</v>
      </c>
      <c r="E101" s="580" t="s">
        <v>224</v>
      </c>
      <c r="F101" s="539">
        <f>504</f>
        <v>504</v>
      </c>
      <c r="G101" s="537"/>
      <c r="H101" s="538"/>
      <c r="I101" s="539"/>
    </row>
    <row r="102" spans="1:10" ht="25.2" customHeight="1" x14ac:dyDescent="0.25">
      <c r="A102" s="579" t="s">
        <v>292</v>
      </c>
      <c r="B102" s="684" t="s">
        <v>294</v>
      </c>
      <c r="C102" s="539">
        <v>-5610</v>
      </c>
      <c r="D102" s="581" t="s">
        <v>247</v>
      </c>
      <c r="E102" s="580" t="s">
        <v>251</v>
      </c>
      <c r="F102" s="556">
        <v>4620</v>
      </c>
      <c r="G102" s="579"/>
      <c r="H102" s="580"/>
      <c r="I102" s="539"/>
    </row>
    <row r="103" spans="1:10" ht="15.6" customHeight="1" x14ac:dyDescent="0.3">
      <c r="A103" s="724" t="s">
        <v>318</v>
      </c>
      <c r="B103" s="726" t="s">
        <v>339</v>
      </c>
      <c r="C103" s="556">
        <v>140</v>
      </c>
      <c r="D103" s="537" t="s">
        <v>265</v>
      </c>
      <c r="E103" s="538" t="s">
        <v>272</v>
      </c>
      <c r="F103" s="539">
        <v>250</v>
      </c>
      <c r="G103" s="579"/>
      <c r="H103" s="580"/>
      <c r="I103" s="539"/>
    </row>
    <row r="104" spans="1:10" ht="17.399999999999999" customHeight="1" x14ac:dyDescent="0.25">
      <c r="A104" s="579" t="s">
        <v>335</v>
      </c>
      <c r="B104" s="684" t="s">
        <v>340</v>
      </c>
      <c r="C104" s="539">
        <v>228</v>
      </c>
      <c r="D104" s="581" t="s">
        <v>318</v>
      </c>
      <c r="E104" s="580" t="s">
        <v>327</v>
      </c>
      <c r="F104" s="556">
        <v>178.5</v>
      </c>
      <c r="G104" s="579"/>
      <c r="H104" s="580"/>
      <c r="I104" s="539"/>
    </row>
    <row r="105" spans="1:10" ht="14.4" customHeight="1" x14ac:dyDescent="0.25">
      <c r="A105" s="579" t="s">
        <v>318</v>
      </c>
      <c r="B105" s="580" t="s">
        <v>342</v>
      </c>
      <c r="C105" s="539">
        <v>178.5</v>
      </c>
      <c r="G105" s="537"/>
      <c r="H105" s="538"/>
      <c r="I105" s="539"/>
    </row>
    <row r="106" spans="1:10" ht="14.4" customHeight="1" x14ac:dyDescent="0.25">
      <c r="A106" s="579" t="s">
        <v>343</v>
      </c>
      <c r="B106" s="580" t="s">
        <v>344</v>
      </c>
      <c r="C106" s="539">
        <v>438.55</v>
      </c>
      <c r="D106" s="537"/>
      <c r="E106" s="538"/>
      <c r="F106" s="539"/>
      <c r="G106" s="537"/>
      <c r="H106" s="538"/>
      <c r="I106" s="539"/>
    </row>
    <row r="107" spans="1:10" ht="14.4" customHeight="1" x14ac:dyDescent="0.3">
      <c r="A107" s="540"/>
      <c r="B107" s="541"/>
      <c r="C107" s="539"/>
      <c r="D107" s="540"/>
      <c r="E107" s="541"/>
      <c r="F107" s="539"/>
      <c r="G107" s="540"/>
      <c r="H107" s="541"/>
      <c r="I107" s="539"/>
    </row>
    <row r="108" spans="1:10" ht="14.4" customHeight="1" thickBot="1" x14ac:dyDescent="0.35">
      <c r="A108" s="547"/>
      <c r="B108" s="548"/>
      <c r="C108" s="549">
        <f>SUM(C99:C107)</f>
        <v>-3364.95</v>
      </c>
      <c r="D108" s="547"/>
      <c r="E108" s="548"/>
      <c r="F108" s="549">
        <f>SUM(F99:F107)</f>
        <v>7178.66</v>
      </c>
      <c r="G108" s="547"/>
      <c r="H108" s="548"/>
      <c r="I108" s="549">
        <f>SUM(I99:I107)</f>
        <v>-1640</v>
      </c>
    </row>
    <row r="109" spans="1:10" ht="14.4" customHeight="1" thickBot="1" x14ac:dyDescent="0.3">
      <c r="C109" s="550"/>
      <c r="F109" s="550"/>
      <c r="J109" s="564"/>
    </row>
    <row r="110" spans="1:10" ht="14.4" customHeight="1" x14ac:dyDescent="0.3">
      <c r="A110" s="742" t="s">
        <v>175</v>
      </c>
      <c r="B110" s="743"/>
      <c r="C110" s="744"/>
      <c r="D110" s="742" t="s">
        <v>176</v>
      </c>
      <c r="E110" s="743"/>
      <c r="F110" s="744"/>
      <c r="J110" s="550"/>
    </row>
    <row r="111" spans="1:10" ht="14.4" customHeight="1" x14ac:dyDescent="0.3">
      <c r="A111" s="586" t="s">
        <v>137</v>
      </c>
      <c r="B111" s="587" t="s">
        <v>137</v>
      </c>
      <c r="C111" s="585">
        <f>+C118+C128</f>
        <v>5611.5</v>
      </c>
      <c r="D111" s="586" t="s">
        <v>137</v>
      </c>
      <c r="E111" s="587" t="s">
        <v>137</v>
      </c>
      <c r="F111" s="585">
        <f>+F118+F128</f>
        <v>6586.5</v>
      </c>
      <c r="H111" s="551"/>
      <c r="I111" s="263"/>
      <c r="J111" s="550"/>
    </row>
    <row r="112" spans="1:10" ht="14.4" customHeight="1" x14ac:dyDescent="0.25">
      <c r="A112" s="542" t="s">
        <v>164</v>
      </c>
      <c r="B112" s="543" t="s">
        <v>165</v>
      </c>
      <c r="C112" s="484"/>
      <c r="D112" s="542" t="s">
        <v>164</v>
      </c>
      <c r="E112" s="543" t="s">
        <v>165</v>
      </c>
      <c r="F112" s="484"/>
      <c r="J112" s="550"/>
    </row>
    <row r="113" spans="1:10" ht="14.4" customHeight="1" x14ac:dyDescent="0.3">
      <c r="A113" s="540" t="s">
        <v>220</v>
      </c>
      <c r="B113" s="584"/>
      <c r="C113" s="556"/>
      <c r="D113" s="540" t="s">
        <v>220</v>
      </c>
      <c r="E113" s="584"/>
      <c r="F113" s="556"/>
      <c r="J113" s="550"/>
    </row>
    <row r="114" spans="1:10" ht="14.4" customHeight="1" x14ac:dyDescent="0.3">
      <c r="A114" s="544" t="s">
        <v>201</v>
      </c>
      <c r="B114" s="544" t="s">
        <v>202</v>
      </c>
      <c r="C114" s="539">
        <v>780</v>
      </c>
      <c r="D114" s="599" t="s">
        <v>235</v>
      </c>
      <c r="E114" s="677" t="s">
        <v>236</v>
      </c>
      <c r="F114" s="556">
        <v>218</v>
      </c>
      <c r="J114" s="550"/>
    </row>
    <row r="115" spans="1:10" ht="14.4" customHeight="1" x14ac:dyDescent="0.3">
      <c r="A115" s="583"/>
      <c r="B115" s="584"/>
      <c r="C115" s="556">
        <v>0</v>
      </c>
      <c r="D115" s="598" t="s">
        <v>233</v>
      </c>
      <c r="E115" s="677" t="s">
        <v>234</v>
      </c>
      <c r="F115" s="556">
        <v>470</v>
      </c>
      <c r="J115" s="550"/>
    </row>
    <row r="116" spans="1:10" ht="28.5" customHeight="1" x14ac:dyDescent="0.3">
      <c r="A116" s="583"/>
      <c r="B116" s="584"/>
      <c r="C116" s="556">
        <v>0</v>
      </c>
      <c r="D116" s="691" t="s">
        <v>299</v>
      </c>
      <c r="E116" s="692" t="s">
        <v>300</v>
      </c>
      <c r="F116" s="556">
        <v>480</v>
      </c>
      <c r="J116" s="550"/>
    </row>
    <row r="117" spans="1:10" ht="14.4" customHeight="1" x14ac:dyDescent="0.3">
      <c r="A117" s="583"/>
      <c r="B117" s="584"/>
      <c r="C117" s="556">
        <v>0</v>
      </c>
      <c r="D117" s="583"/>
      <c r="E117" s="584"/>
      <c r="F117" s="556">
        <v>0</v>
      </c>
      <c r="J117" s="550"/>
    </row>
    <row r="118" spans="1:10" ht="14.4" customHeight="1" x14ac:dyDescent="0.25">
      <c r="A118" s="586" t="s">
        <v>137</v>
      </c>
      <c r="B118" s="587" t="s">
        <v>137</v>
      </c>
      <c r="C118" s="585">
        <f>SUM(C114:C117)</f>
        <v>780</v>
      </c>
      <c r="D118" s="586" t="s">
        <v>137</v>
      </c>
      <c r="E118" s="587" t="s">
        <v>137</v>
      </c>
      <c r="F118" s="585">
        <f>SUM(F114:F117)</f>
        <v>1168</v>
      </c>
      <c r="J118" s="550"/>
    </row>
    <row r="119" spans="1:10" ht="14.4" customHeight="1" x14ac:dyDescent="0.3">
      <c r="A119" s="582" t="s">
        <v>221</v>
      </c>
      <c r="B119" s="483"/>
      <c r="C119" s="484"/>
      <c r="D119" s="582" t="s">
        <v>221</v>
      </c>
      <c r="E119" s="483"/>
      <c r="F119" s="484"/>
      <c r="J119" s="550"/>
    </row>
    <row r="120" spans="1:10" ht="14.4" customHeight="1" x14ac:dyDescent="0.25">
      <c r="A120" s="581" t="s">
        <v>247</v>
      </c>
      <c r="B120" s="580" t="s">
        <v>252</v>
      </c>
      <c r="C120" s="556">
        <v>1080</v>
      </c>
      <c r="D120" s="544" t="s">
        <v>265</v>
      </c>
      <c r="E120" s="678" t="s">
        <v>273</v>
      </c>
      <c r="F120" s="539">
        <v>200</v>
      </c>
      <c r="J120" s="550"/>
    </row>
    <row r="121" spans="1:10" ht="26.4" customHeight="1" x14ac:dyDescent="0.25">
      <c r="A121" s="544" t="s">
        <v>265</v>
      </c>
      <c r="B121" s="625" t="s">
        <v>273</v>
      </c>
      <c r="C121" s="539">
        <v>250</v>
      </c>
      <c r="D121" s="581" t="s">
        <v>318</v>
      </c>
      <c r="E121" s="580" t="s">
        <v>351</v>
      </c>
      <c r="F121" s="539">
        <v>178.5</v>
      </c>
      <c r="J121" s="550"/>
    </row>
    <row r="122" spans="1:10" ht="14.4" customHeight="1" x14ac:dyDescent="0.25">
      <c r="A122" s="581" t="s">
        <v>292</v>
      </c>
      <c r="B122" s="684" t="s">
        <v>296</v>
      </c>
      <c r="C122" s="556">
        <v>1640</v>
      </c>
      <c r="D122" s="581" t="s">
        <v>335</v>
      </c>
      <c r="E122" s="581" t="s">
        <v>336</v>
      </c>
      <c r="F122" s="556">
        <v>5040</v>
      </c>
      <c r="J122" s="550"/>
    </row>
    <row r="123" spans="1:10" ht="14.4" customHeight="1" x14ac:dyDescent="0.25">
      <c r="A123" s="579" t="s">
        <v>335</v>
      </c>
      <c r="B123" s="580" t="s">
        <v>345</v>
      </c>
      <c r="C123" s="539">
        <v>228</v>
      </c>
      <c r="D123" s="579"/>
      <c r="E123" s="580"/>
      <c r="F123" s="539"/>
      <c r="J123" s="550"/>
    </row>
    <row r="124" spans="1:10" ht="14.4" customHeight="1" x14ac:dyDescent="0.25">
      <c r="A124" s="579" t="s">
        <v>318</v>
      </c>
      <c r="B124" s="580" t="s">
        <v>346</v>
      </c>
      <c r="C124" s="539">
        <v>178.5</v>
      </c>
      <c r="D124" s="537"/>
      <c r="E124" s="538"/>
      <c r="F124" s="539"/>
      <c r="J124" s="550"/>
    </row>
    <row r="125" spans="1:10" ht="14.4" customHeight="1" x14ac:dyDescent="0.25">
      <c r="A125" s="579" t="s">
        <v>337</v>
      </c>
      <c r="B125" s="580" t="s">
        <v>347</v>
      </c>
      <c r="C125" s="539">
        <v>350</v>
      </c>
      <c r="D125" s="537"/>
      <c r="E125" s="538"/>
      <c r="F125" s="539"/>
      <c r="J125" s="550"/>
    </row>
    <row r="126" spans="1:10" ht="14.4" customHeight="1" x14ac:dyDescent="0.25">
      <c r="A126" s="579" t="s">
        <v>348</v>
      </c>
      <c r="B126" s="580" t="s">
        <v>349</v>
      </c>
      <c r="C126" s="539">
        <v>880</v>
      </c>
      <c r="D126" s="537"/>
      <c r="E126" s="538"/>
      <c r="F126" s="539"/>
      <c r="J126" s="550"/>
    </row>
    <row r="127" spans="1:10" ht="14.4" customHeight="1" x14ac:dyDescent="0.3">
      <c r="A127" s="724" t="s">
        <v>348</v>
      </c>
      <c r="B127" s="725" t="s">
        <v>350</v>
      </c>
      <c r="C127" s="585">
        <v>225</v>
      </c>
      <c r="D127" s="540"/>
      <c r="E127" s="541"/>
      <c r="F127" s="539"/>
      <c r="J127" s="550"/>
    </row>
    <row r="128" spans="1:10" ht="14.4" customHeight="1" thickBot="1" x14ac:dyDescent="0.35">
      <c r="A128" s="547"/>
      <c r="B128" s="548"/>
      <c r="C128" s="549">
        <f>SUM(C120:C127)</f>
        <v>4831.5</v>
      </c>
      <c r="D128" s="547"/>
      <c r="E128" s="548"/>
      <c r="F128" s="549">
        <f>SUM(F120:F127)</f>
        <v>5418.5</v>
      </c>
      <c r="J128" s="550"/>
    </row>
    <row r="129" spans="1:10" ht="14.4" customHeight="1" x14ac:dyDescent="0.25">
      <c r="C129" s="550"/>
      <c r="F129" s="550"/>
      <c r="J129" s="550"/>
    </row>
    <row r="130" spans="1:10" ht="14.4" customHeight="1" x14ac:dyDescent="0.3">
      <c r="A130" s="530"/>
      <c r="C130" s="550"/>
      <c r="D130" s="530"/>
      <c r="F130" s="550"/>
      <c r="J130" s="550"/>
    </row>
    <row r="131" spans="1:10" ht="14.4" customHeight="1" x14ac:dyDescent="0.25">
      <c r="C131" s="550"/>
      <c r="F131" s="550"/>
      <c r="J131" s="550"/>
    </row>
    <row r="132" spans="1:10" ht="14.4" customHeight="1" x14ac:dyDescent="0.25">
      <c r="C132" s="550"/>
      <c r="F132" s="550"/>
      <c r="J132" s="550"/>
    </row>
    <row r="133" spans="1:10" ht="14.4" customHeight="1" x14ac:dyDescent="0.25">
      <c r="C133" s="550"/>
      <c r="F133" s="550"/>
      <c r="J133" s="550"/>
    </row>
    <row r="134" spans="1:10" ht="14.4" customHeight="1" x14ac:dyDescent="0.25"/>
    <row r="135" spans="1:10" ht="14.4" customHeight="1" x14ac:dyDescent="0.25"/>
    <row r="136" spans="1:10" ht="14.4" customHeight="1" x14ac:dyDescent="0.25"/>
    <row r="137" spans="1:10" ht="14.4" customHeight="1" x14ac:dyDescent="0.25"/>
    <row r="138" spans="1:10" ht="14.4" customHeight="1" x14ac:dyDescent="0.25"/>
    <row r="139" spans="1:10" ht="14.4" customHeight="1" x14ac:dyDescent="0.25"/>
    <row r="140" spans="1:10" ht="14.4" customHeight="1" x14ac:dyDescent="0.25"/>
    <row r="141" spans="1:10" ht="14.4" customHeight="1" x14ac:dyDescent="0.25"/>
    <row r="142" spans="1:10" ht="14.4" customHeight="1" x14ac:dyDescent="0.25"/>
    <row r="143" spans="1:10" ht="14.4" customHeight="1" x14ac:dyDescent="0.25"/>
    <row r="144" spans="1:10" ht="14.4" customHeight="1" x14ac:dyDescent="0.25"/>
    <row r="145" ht="14.4" customHeight="1" x14ac:dyDescent="0.25"/>
    <row r="146" ht="14.4" customHeight="1" x14ac:dyDescent="0.25"/>
    <row r="147" ht="14.4" customHeight="1" x14ac:dyDescent="0.25"/>
    <row r="148" ht="14.4" customHeight="1" x14ac:dyDescent="0.25"/>
    <row r="149" ht="14.4" customHeight="1" x14ac:dyDescent="0.25"/>
    <row r="150" ht="14.4" customHeight="1" x14ac:dyDescent="0.25"/>
    <row r="151" ht="14.4" customHeight="1" x14ac:dyDescent="0.25"/>
    <row r="152" ht="14.4" customHeight="1" x14ac:dyDescent="0.25"/>
    <row r="153" ht="14.4" customHeight="1" x14ac:dyDescent="0.25"/>
    <row r="154" ht="14.4" customHeight="1" x14ac:dyDescent="0.25"/>
    <row r="155" ht="14.4" customHeight="1" x14ac:dyDescent="0.25"/>
    <row r="156" ht="14.4" customHeight="1" x14ac:dyDescent="0.25"/>
    <row r="157" ht="14.4" customHeight="1" x14ac:dyDescent="0.25"/>
    <row r="158" ht="14.4" customHeight="1" x14ac:dyDescent="0.25"/>
    <row r="159" ht="14.4" customHeight="1" x14ac:dyDescent="0.25"/>
    <row r="160" ht="14.4" customHeight="1" x14ac:dyDescent="0.25"/>
    <row r="161" ht="14.4" customHeight="1" x14ac:dyDescent="0.25"/>
    <row r="162" ht="14.4" customHeight="1" x14ac:dyDescent="0.25"/>
    <row r="163" ht="14.4" customHeight="1" x14ac:dyDescent="0.25"/>
    <row r="164" ht="14.4" customHeight="1" x14ac:dyDescent="0.25"/>
    <row r="165" ht="14.4" customHeight="1" x14ac:dyDescent="0.25"/>
    <row r="166" ht="14.4" customHeight="1" x14ac:dyDescent="0.25"/>
    <row r="167" ht="14.4" customHeight="1" x14ac:dyDescent="0.25"/>
    <row r="168" ht="14.4" customHeight="1" x14ac:dyDescent="0.25"/>
    <row r="169" ht="14.4" customHeight="1" x14ac:dyDescent="0.25"/>
    <row r="170" ht="14.4" customHeight="1" x14ac:dyDescent="0.25"/>
    <row r="171" ht="14.4" customHeight="1" x14ac:dyDescent="0.25"/>
    <row r="172" ht="14.4" customHeight="1" x14ac:dyDescent="0.25"/>
    <row r="173" ht="14.4" customHeight="1" x14ac:dyDescent="0.25"/>
    <row r="174" ht="14.4" customHeight="1" x14ac:dyDescent="0.25"/>
    <row r="175" ht="14.4" customHeight="1" x14ac:dyDescent="0.25"/>
    <row r="176" ht="14.4" customHeight="1" x14ac:dyDescent="0.25"/>
    <row r="177" ht="14.4" customHeight="1" x14ac:dyDescent="0.25"/>
    <row r="178" ht="14.4" customHeight="1" x14ac:dyDescent="0.25"/>
    <row r="179" ht="14.4" customHeight="1" x14ac:dyDescent="0.25"/>
    <row r="180" ht="14.4" customHeight="1" x14ac:dyDescent="0.25"/>
    <row r="181" ht="14.4" customHeight="1" x14ac:dyDescent="0.25"/>
    <row r="182" ht="14.4" customHeight="1" x14ac:dyDescent="0.25"/>
    <row r="183" ht="14.4" customHeight="1" x14ac:dyDescent="0.25"/>
    <row r="184" ht="14.4" customHeight="1" x14ac:dyDescent="0.25"/>
    <row r="185" ht="14.4" customHeight="1" x14ac:dyDescent="0.25"/>
    <row r="186" ht="14.4" customHeight="1" x14ac:dyDescent="0.25"/>
    <row r="187" ht="14.4" customHeight="1" x14ac:dyDescent="0.25"/>
    <row r="188" ht="14.4" customHeight="1" x14ac:dyDescent="0.25"/>
    <row r="189" ht="14.4" customHeight="1" x14ac:dyDescent="0.25"/>
    <row r="190" ht="14.4" customHeight="1" x14ac:dyDescent="0.25"/>
    <row r="191" ht="14.4" customHeight="1" x14ac:dyDescent="0.25"/>
    <row r="192" ht="14.4" customHeight="1" x14ac:dyDescent="0.25"/>
    <row r="193" ht="14.4" customHeight="1" x14ac:dyDescent="0.25"/>
    <row r="194" ht="14.4" customHeight="1" x14ac:dyDescent="0.25"/>
    <row r="195" ht="14.4" customHeight="1" x14ac:dyDescent="0.25"/>
    <row r="196" ht="14.4" customHeight="1" x14ac:dyDescent="0.25"/>
    <row r="197" ht="14.4" customHeight="1" x14ac:dyDescent="0.25"/>
    <row r="198" ht="14.4" customHeight="1" x14ac:dyDescent="0.25"/>
    <row r="199" ht="14.4" customHeight="1" x14ac:dyDescent="0.25"/>
    <row r="200" ht="14.4" customHeight="1" x14ac:dyDescent="0.25"/>
    <row r="201" ht="14.4" customHeight="1" x14ac:dyDescent="0.25"/>
    <row r="202" ht="14.4" customHeight="1" x14ac:dyDescent="0.25"/>
    <row r="203" ht="14.4" customHeight="1" x14ac:dyDescent="0.25"/>
    <row r="204" ht="14.4" customHeight="1" x14ac:dyDescent="0.25"/>
    <row r="205" ht="14.4" customHeight="1" x14ac:dyDescent="0.25"/>
    <row r="206" ht="14.4" customHeight="1" x14ac:dyDescent="0.25"/>
    <row r="207" ht="14.4" customHeight="1" x14ac:dyDescent="0.25"/>
    <row r="208" ht="14.4" customHeight="1" x14ac:dyDescent="0.25"/>
    <row r="209" ht="14.4" customHeight="1" x14ac:dyDescent="0.25"/>
    <row r="210" ht="14.4" customHeight="1" x14ac:dyDescent="0.25"/>
    <row r="211" ht="14.4" customHeight="1" x14ac:dyDescent="0.25"/>
    <row r="212" ht="14.4" customHeight="1" x14ac:dyDescent="0.25"/>
    <row r="213" ht="14.4" customHeight="1" x14ac:dyDescent="0.25"/>
    <row r="214" ht="14.4" customHeight="1" x14ac:dyDescent="0.25"/>
    <row r="215" ht="14.4" customHeight="1" x14ac:dyDescent="0.25"/>
    <row r="216" ht="14.4" customHeight="1" x14ac:dyDescent="0.25"/>
    <row r="217" ht="14.4" customHeight="1" x14ac:dyDescent="0.25"/>
    <row r="218" ht="14.4" customHeight="1" x14ac:dyDescent="0.25"/>
    <row r="219" ht="14.4" customHeight="1" x14ac:dyDescent="0.25"/>
    <row r="220" ht="14.4" customHeight="1" x14ac:dyDescent="0.25"/>
    <row r="221" ht="14.4" customHeight="1" x14ac:dyDescent="0.25"/>
    <row r="222" ht="14.4" customHeight="1" x14ac:dyDescent="0.25"/>
    <row r="223" ht="14.4" customHeight="1" x14ac:dyDescent="0.25"/>
    <row r="224" ht="14.4" customHeight="1" x14ac:dyDescent="0.25"/>
    <row r="225" ht="14.4" customHeight="1" x14ac:dyDescent="0.25"/>
    <row r="226" ht="14.4" customHeight="1" x14ac:dyDescent="0.25"/>
    <row r="227" ht="14.4" customHeight="1" x14ac:dyDescent="0.25"/>
    <row r="228" ht="14.4" customHeight="1" x14ac:dyDescent="0.25"/>
    <row r="229" ht="14.4" customHeight="1" x14ac:dyDescent="0.25"/>
    <row r="230" ht="14.4" customHeight="1" x14ac:dyDescent="0.25"/>
    <row r="231" ht="14.4" customHeight="1" x14ac:dyDescent="0.25"/>
    <row r="232" ht="14.4" customHeight="1" x14ac:dyDescent="0.25"/>
    <row r="233" ht="14.4" customHeight="1" x14ac:dyDescent="0.25"/>
    <row r="234" ht="14.4" customHeight="1" x14ac:dyDescent="0.25"/>
    <row r="235" ht="14.4" customHeight="1" x14ac:dyDescent="0.25"/>
    <row r="236" ht="14.4" customHeight="1" x14ac:dyDescent="0.25"/>
    <row r="237" ht="14.4" customHeight="1" x14ac:dyDescent="0.25"/>
    <row r="238" ht="14.4" customHeight="1" x14ac:dyDescent="0.25"/>
    <row r="239" ht="14.4" customHeight="1" x14ac:dyDescent="0.25"/>
    <row r="240" ht="14.4" customHeight="1" x14ac:dyDescent="0.25"/>
    <row r="241" ht="14.4" customHeight="1" x14ac:dyDescent="0.25"/>
    <row r="242" ht="14.4" customHeight="1" x14ac:dyDescent="0.25"/>
    <row r="243" ht="14.4" customHeight="1" x14ac:dyDescent="0.25"/>
    <row r="244" ht="14.4" customHeight="1" x14ac:dyDescent="0.25"/>
    <row r="245" ht="14.4" customHeight="1" x14ac:dyDescent="0.25"/>
    <row r="246" ht="14.4" customHeight="1" x14ac:dyDescent="0.25"/>
    <row r="247" ht="14.4" customHeight="1" x14ac:dyDescent="0.25"/>
    <row r="248" ht="14.4" customHeight="1" x14ac:dyDescent="0.25"/>
    <row r="249" ht="14.4" customHeight="1" x14ac:dyDescent="0.25"/>
    <row r="250" ht="14.4" customHeight="1" x14ac:dyDescent="0.25"/>
    <row r="251" ht="14.4" customHeight="1" x14ac:dyDescent="0.25"/>
    <row r="252" ht="14.4" customHeight="1" x14ac:dyDescent="0.25"/>
    <row r="253" ht="14.4" customHeight="1" x14ac:dyDescent="0.25"/>
    <row r="254" ht="14.4" customHeight="1" x14ac:dyDescent="0.25"/>
    <row r="255" ht="14.4" customHeight="1" x14ac:dyDescent="0.25"/>
    <row r="256" ht="14.4" customHeight="1" x14ac:dyDescent="0.25"/>
    <row r="257" ht="14.4" customHeight="1" x14ac:dyDescent="0.25"/>
    <row r="258" ht="14.4" customHeight="1" x14ac:dyDescent="0.25"/>
    <row r="259" ht="14.4" customHeight="1" x14ac:dyDescent="0.25"/>
    <row r="260" ht="14.4" customHeight="1" x14ac:dyDescent="0.25"/>
    <row r="261" ht="14.4" customHeight="1" x14ac:dyDescent="0.25"/>
    <row r="262" ht="14.4" customHeight="1" x14ac:dyDescent="0.25"/>
    <row r="263" ht="14.4" customHeight="1" x14ac:dyDescent="0.25"/>
    <row r="264" ht="14.4" customHeight="1" x14ac:dyDescent="0.25"/>
    <row r="265" ht="14.4" customHeight="1" x14ac:dyDescent="0.25"/>
    <row r="266" ht="14.4" customHeight="1" x14ac:dyDescent="0.25"/>
    <row r="267" ht="14.4" customHeight="1" x14ac:dyDescent="0.25"/>
    <row r="268" ht="14.4" customHeight="1" x14ac:dyDescent="0.25"/>
    <row r="269" ht="14.4" customHeight="1" x14ac:dyDescent="0.25"/>
    <row r="270" ht="14.4" customHeight="1" x14ac:dyDescent="0.25"/>
    <row r="271" ht="14.4" customHeight="1" x14ac:dyDescent="0.25"/>
    <row r="272" ht="14.4" customHeight="1" x14ac:dyDescent="0.25"/>
    <row r="273" ht="14.4" customHeight="1" x14ac:dyDescent="0.25"/>
    <row r="274" ht="14.4" customHeight="1" x14ac:dyDescent="0.25"/>
    <row r="275" ht="14.4" customHeight="1" x14ac:dyDescent="0.25"/>
    <row r="276" ht="14.4" customHeight="1" x14ac:dyDescent="0.25"/>
    <row r="277" ht="14.4" customHeight="1" x14ac:dyDescent="0.25"/>
    <row r="278" ht="14.4" customHeight="1" x14ac:dyDescent="0.25"/>
    <row r="279" ht="14.4" customHeight="1" x14ac:dyDescent="0.25"/>
    <row r="280" ht="14.4" customHeight="1" x14ac:dyDescent="0.25"/>
    <row r="281" ht="14.4" customHeight="1" x14ac:dyDescent="0.25"/>
    <row r="282" ht="14.4" customHeight="1" x14ac:dyDescent="0.25"/>
    <row r="283" ht="14.4" customHeight="1" x14ac:dyDescent="0.25"/>
    <row r="284" ht="14.4" customHeight="1" x14ac:dyDescent="0.25"/>
    <row r="285" ht="14.4" customHeight="1" x14ac:dyDescent="0.25"/>
    <row r="286" ht="14.4" customHeight="1" x14ac:dyDescent="0.25"/>
    <row r="287" ht="14.4" customHeight="1" x14ac:dyDescent="0.25"/>
    <row r="288" ht="14.4" customHeight="1" x14ac:dyDescent="0.25"/>
    <row r="289" ht="14.4" customHeight="1" x14ac:dyDescent="0.25"/>
    <row r="290" ht="14.4" customHeight="1" x14ac:dyDescent="0.25"/>
    <row r="291" ht="14.4" customHeight="1" x14ac:dyDescent="0.25"/>
    <row r="292" ht="14.4" customHeight="1" x14ac:dyDescent="0.25"/>
    <row r="293" ht="14.4" customHeight="1" x14ac:dyDescent="0.25"/>
    <row r="294" ht="14.4" customHeight="1" x14ac:dyDescent="0.25"/>
    <row r="295" ht="14.4" customHeight="1" x14ac:dyDescent="0.25"/>
    <row r="296" ht="14.4" customHeight="1" x14ac:dyDescent="0.25"/>
    <row r="297" ht="14.4" customHeight="1" x14ac:dyDescent="0.25"/>
    <row r="298" ht="14.4" customHeight="1" x14ac:dyDescent="0.25"/>
    <row r="299" ht="14.4" customHeight="1" x14ac:dyDescent="0.25"/>
    <row r="300" ht="14.4" customHeight="1" x14ac:dyDescent="0.25"/>
    <row r="301" ht="14.4" customHeight="1" x14ac:dyDescent="0.25"/>
    <row r="302" ht="14.4" customHeight="1" x14ac:dyDescent="0.25"/>
    <row r="303" ht="14.4" customHeight="1" x14ac:dyDescent="0.25"/>
    <row r="304" ht="14.4" customHeight="1" x14ac:dyDescent="0.25"/>
    <row r="305" ht="14.4" customHeight="1" x14ac:dyDescent="0.25"/>
    <row r="306" ht="14.4" customHeight="1" x14ac:dyDescent="0.25"/>
    <row r="307" ht="14.4" customHeight="1" x14ac:dyDescent="0.25"/>
    <row r="308" ht="14.4" customHeight="1" x14ac:dyDescent="0.25"/>
    <row r="309" ht="14.4" customHeight="1" x14ac:dyDescent="0.25"/>
    <row r="310" ht="14.4" customHeight="1" x14ac:dyDescent="0.25"/>
    <row r="311" ht="14.4" customHeight="1" x14ac:dyDescent="0.25"/>
    <row r="312" ht="14.4" customHeight="1" x14ac:dyDescent="0.25"/>
    <row r="313" ht="14.4" customHeight="1" x14ac:dyDescent="0.25"/>
    <row r="314" ht="14.4" customHeight="1" x14ac:dyDescent="0.25"/>
    <row r="315" ht="14.4" customHeight="1" x14ac:dyDescent="0.25"/>
    <row r="316" ht="14.4" customHeight="1" x14ac:dyDescent="0.25"/>
    <row r="317" ht="14.4" customHeight="1" x14ac:dyDescent="0.25"/>
    <row r="318" ht="14.4" customHeight="1" x14ac:dyDescent="0.25"/>
    <row r="319" ht="14.4" customHeight="1" x14ac:dyDescent="0.25"/>
    <row r="320" ht="14.4" customHeight="1" x14ac:dyDescent="0.25"/>
    <row r="321" ht="14.4" customHeight="1" x14ac:dyDescent="0.25"/>
    <row r="322" ht="14.4" customHeight="1" x14ac:dyDescent="0.25"/>
    <row r="323" ht="14.4" customHeight="1" x14ac:dyDescent="0.25"/>
    <row r="324" ht="14.4" customHeight="1" x14ac:dyDescent="0.25"/>
    <row r="325" ht="14.4" customHeight="1" x14ac:dyDescent="0.25"/>
    <row r="326" ht="14.4" customHeight="1" x14ac:dyDescent="0.25"/>
    <row r="327" ht="14.4" customHeight="1" x14ac:dyDescent="0.25"/>
    <row r="328" ht="14.4" customHeight="1" x14ac:dyDescent="0.25"/>
    <row r="329" ht="14.4" customHeight="1" x14ac:dyDescent="0.25"/>
    <row r="330" ht="14.4" customHeight="1" x14ac:dyDescent="0.25"/>
    <row r="331" ht="14.4" customHeight="1" x14ac:dyDescent="0.25"/>
    <row r="332" ht="14.4" customHeight="1" x14ac:dyDescent="0.25"/>
    <row r="333" ht="14.4" customHeight="1" x14ac:dyDescent="0.25"/>
    <row r="334" ht="14.4" customHeight="1" x14ac:dyDescent="0.25"/>
    <row r="335" ht="14.4" customHeight="1" x14ac:dyDescent="0.25"/>
    <row r="336" ht="14.4" customHeight="1" x14ac:dyDescent="0.25"/>
    <row r="337" ht="14.4" customHeight="1" x14ac:dyDescent="0.25"/>
    <row r="338" ht="14.4" customHeight="1" x14ac:dyDescent="0.25"/>
    <row r="339" ht="14.4" customHeight="1" x14ac:dyDescent="0.25"/>
    <row r="340" ht="14.4" customHeight="1" x14ac:dyDescent="0.25"/>
    <row r="341" ht="14.4" customHeight="1" x14ac:dyDescent="0.25"/>
    <row r="342" ht="14.4" customHeight="1" x14ac:dyDescent="0.25"/>
    <row r="343" ht="14.4" customHeight="1" x14ac:dyDescent="0.25"/>
    <row r="344" ht="14.4" customHeight="1" x14ac:dyDescent="0.25"/>
    <row r="345" ht="14.4" customHeight="1" x14ac:dyDescent="0.25"/>
    <row r="346" ht="14.4" customHeight="1" x14ac:dyDescent="0.25"/>
    <row r="347" ht="14.4" customHeight="1" x14ac:dyDescent="0.25"/>
    <row r="348" ht="14.4" customHeight="1" x14ac:dyDescent="0.25"/>
    <row r="349" ht="14.4" customHeight="1" x14ac:dyDescent="0.25"/>
    <row r="350" ht="14.4" customHeight="1" x14ac:dyDescent="0.25"/>
    <row r="351" ht="14.4" customHeight="1" x14ac:dyDescent="0.25"/>
    <row r="352" ht="14.4" customHeight="1" x14ac:dyDescent="0.25"/>
    <row r="353" ht="14.4" customHeight="1" x14ac:dyDescent="0.25"/>
    <row r="354" ht="14.4" customHeight="1" x14ac:dyDescent="0.25"/>
    <row r="355" ht="14.4" customHeight="1" x14ac:dyDescent="0.25"/>
    <row r="356" ht="14.4" customHeight="1" x14ac:dyDescent="0.25"/>
    <row r="357" ht="14.4" customHeight="1" x14ac:dyDescent="0.25"/>
    <row r="358" ht="14.4" customHeight="1" x14ac:dyDescent="0.25"/>
    <row r="359" ht="14.4" customHeight="1" x14ac:dyDescent="0.25"/>
    <row r="360" ht="14.4" customHeight="1" x14ac:dyDescent="0.25"/>
    <row r="361" ht="14.4" customHeight="1" x14ac:dyDescent="0.25"/>
    <row r="362" ht="14.4" customHeight="1" x14ac:dyDescent="0.25"/>
    <row r="363" ht="14.4" customHeight="1" x14ac:dyDescent="0.25"/>
    <row r="364" ht="14.4" customHeight="1" x14ac:dyDescent="0.25"/>
    <row r="365" ht="14.4" customHeight="1" x14ac:dyDescent="0.25"/>
    <row r="366" ht="14.4" customHeight="1" x14ac:dyDescent="0.25"/>
    <row r="367" ht="14.4" customHeight="1" x14ac:dyDescent="0.25"/>
    <row r="368" ht="14.4" customHeight="1" x14ac:dyDescent="0.25"/>
    <row r="369" ht="14.4" customHeight="1" x14ac:dyDescent="0.25"/>
    <row r="370" ht="14.4" customHeight="1" x14ac:dyDescent="0.25"/>
    <row r="371" ht="14.4" customHeight="1" x14ac:dyDescent="0.25"/>
    <row r="372" ht="14.4" customHeight="1" x14ac:dyDescent="0.25"/>
    <row r="373" ht="14.4" customHeight="1" x14ac:dyDescent="0.25"/>
    <row r="374" ht="14.4" customHeight="1" x14ac:dyDescent="0.25"/>
    <row r="375" ht="14.4" customHeight="1" x14ac:dyDescent="0.25"/>
    <row r="376" ht="14.4" customHeight="1" x14ac:dyDescent="0.25"/>
    <row r="377" ht="14.4" customHeight="1" x14ac:dyDescent="0.25"/>
    <row r="378" ht="14.4" customHeight="1" x14ac:dyDescent="0.25"/>
    <row r="379" ht="14.4" customHeight="1" x14ac:dyDescent="0.25"/>
    <row r="380" ht="14.4" customHeight="1" x14ac:dyDescent="0.25"/>
    <row r="381" ht="14.4" customHeight="1" x14ac:dyDescent="0.25"/>
    <row r="382" ht="14.4" customHeight="1" x14ac:dyDescent="0.25"/>
    <row r="383" ht="14.4" customHeight="1" x14ac:dyDescent="0.25"/>
    <row r="384" ht="14.4" customHeight="1" x14ac:dyDescent="0.25"/>
    <row r="385" ht="14.4" customHeight="1" x14ac:dyDescent="0.25"/>
    <row r="386" ht="14.4" customHeight="1" x14ac:dyDescent="0.25"/>
    <row r="387" ht="14.4" customHeight="1" x14ac:dyDescent="0.25"/>
    <row r="388" ht="14.4" customHeight="1" x14ac:dyDescent="0.25"/>
    <row r="389" ht="14.4" customHeight="1" x14ac:dyDescent="0.25"/>
    <row r="390" ht="14.4" customHeight="1" x14ac:dyDescent="0.25"/>
    <row r="391" ht="14.4" customHeight="1" x14ac:dyDescent="0.25"/>
    <row r="392" ht="14.4" customHeight="1" x14ac:dyDescent="0.25"/>
    <row r="393" ht="14.4" customHeight="1" x14ac:dyDescent="0.25"/>
    <row r="394" ht="14.4" customHeight="1" x14ac:dyDescent="0.25"/>
    <row r="395" ht="14.4" customHeight="1" x14ac:dyDescent="0.25"/>
    <row r="396" ht="14.4" customHeight="1" x14ac:dyDescent="0.25"/>
    <row r="397" ht="14.4" customHeight="1" x14ac:dyDescent="0.25"/>
    <row r="398" ht="14.4" customHeight="1" x14ac:dyDescent="0.25"/>
    <row r="399" ht="14.4" customHeight="1" x14ac:dyDescent="0.25"/>
    <row r="400" ht="14.4" customHeight="1" x14ac:dyDescent="0.25"/>
    <row r="401" ht="14.4" customHeight="1" x14ac:dyDescent="0.25"/>
    <row r="402" ht="14.4" customHeight="1" x14ac:dyDescent="0.25"/>
    <row r="403" ht="14.4" customHeight="1" x14ac:dyDescent="0.25"/>
    <row r="404" ht="14.4" customHeight="1" x14ac:dyDescent="0.25"/>
    <row r="405" ht="14.4" customHeight="1" x14ac:dyDescent="0.25"/>
    <row r="406" ht="14.4" customHeight="1" x14ac:dyDescent="0.25"/>
    <row r="407" ht="14.4" customHeight="1" x14ac:dyDescent="0.25"/>
    <row r="408" ht="14.4" customHeight="1" x14ac:dyDescent="0.25"/>
    <row r="409" ht="14.4" customHeight="1" x14ac:dyDescent="0.25"/>
    <row r="410" ht="14.4" customHeight="1" x14ac:dyDescent="0.25"/>
    <row r="411" ht="14.4" customHeight="1" x14ac:dyDescent="0.25"/>
    <row r="412" ht="14.4" customHeight="1" x14ac:dyDescent="0.25"/>
    <row r="413" ht="14.4" customHeight="1" x14ac:dyDescent="0.25"/>
    <row r="414" ht="14.4" customHeight="1" x14ac:dyDescent="0.25"/>
    <row r="415" ht="14.4" customHeight="1" x14ac:dyDescent="0.25"/>
    <row r="416" ht="14.4" customHeight="1" x14ac:dyDescent="0.25"/>
    <row r="417" ht="14.4" customHeight="1" x14ac:dyDescent="0.25"/>
    <row r="418" ht="14.4" customHeight="1" x14ac:dyDescent="0.25"/>
    <row r="419" ht="14.4" customHeight="1" x14ac:dyDescent="0.25"/>
    <row r="420" ht="14.4" customHeight="1" x14ac:dyDescent="0.25"/>
    <row r="421" ht="14.4" customHeight="1" x14ac:dyDescent="0.25"/>
    <row r="422" ht="14.4" customHeight="1" x14ac:dyDescent="0.25"/>
    <row r="423" ht="14.4" customHeight="1" x14ac:dyDescent="0.25"/>
    <row r="424" ht="14.4" customHeight="1" x14ac:dyDescent="0.25"/>
    <row r="425" ht="14.4" customHeight="1" x14ac:dyDescent="0.25"/>
    <row r="426" ht="14.4" customHeight="1" x14ac:dyDescent="0.25"/>
    <row r="427" ht="14.4" customHeight="1" x14ac:dyDescent="0.25"/>
    <row r="428" ht="14.4" customHeight="1" x14ac:dyDescent="0.25"/>
    <row r="429" ht="14.4" customHeight="1" x14ac:dyDescent="0.25"/>
    <row r="430" ht="14.4" customHeight="1" x14ac:dyDescent="0.25"/>
    <row r="431" ht="14.4" customHeight="1" x14ac:dyDescent="0.25"/>
    <row r="432" ht="14.4" customHeight="1" x14ac:dyDescent="0.25"/>
    <row r="433" ht="14.4" customHeight="1" x14ac:dyDescent="0.25"/>
    <row r="434" ht="14.4" customHeight="1" x14ac:dyDescent="0.25"/>
    <row r="435" ht="14.4" customHeight="1" x14ac:dyDescent="0.25"/>
    <row r="436" ht="14.4" customHeight="1" x14ac:dyDescent="0.25"/>
    <row r="437" ht="14.4" customHeight="1" x14ac:dyDescent="0.25"/>
    <row r="438" ht="14.4" customHeight="1" x14ac:dyDescent="0.25"/>
    <row r="439" ht="14.4" customHeight="1" x14ac:dyDescent="0.25"/>
    <row r="440" ht="14.4" customHeight="1" x14ac:dyDescent="0.25"/>
    <row r="441" ht="14.4" customHeight="1" x14ac:dyDescent="0.25"/>
    <row r="442" ht="14.4" customHeight="1" x14ac:dyDescent="0.25"/>
    <row r="443" ht="14.4" customHeight="1" x14ac:dyDescent="0.25"/>
    <row r="444" ht="14.4" customHeight="1" x14ac:dyDescent="0.25"/>
    <row r="445" ht="14.4" customHeight="1" x14ac:dyDescent="0.25"/>
    <row r="446" ht="14.4" customHeight="1" x14ac:dyDescent="0.25"/>
    <row r="447" ht="14.4" customHeight="1" x14ac:dyDescent="0.25"/>
    <row r="448" ht="14.4" customHeight="1" x14ac:dyDescent="0.25"/>
    <row r="449" ht="14.4" customHeight="1" x14ac:dyDescent="0.25"/>
    <row r="450" ht="14.4" customHeight="1" x14ac:dyDescent="0.25"/>
    <row r="451" ht="14.4" customHeight="1" x14ac:dyDescent="0.25"/>
    <row r="452" ht="14.4" customHeight="1" x14ac:dyDescent="0.25"/>
    <row r="453" ht="14.4" customHeight="1" x14ac:dyDescent="0.25"/>
    <row r="454" ht="14.4" customHeight="1" x14ac:dyDescent="0.25"/>
    <row r="455" ht="14.4" customHeight="1" x14ac:dyDescent="0.25"/>
    <row r="456" ht="14.4" customHeight="1" x14ac:dyDescent="0.25"/>
    <row r="457" ht="14.4" customHeight="1" x14ac:dyDescent="0.25"/>
    <row r="458" ht="14.4" customHeight="1" x14ac:dyDescent="0.25"/>
    <row r="459" ht="14.4" customHeight="1" x14ac:dyDescent="0.25"/>
    <row r="460" ht="14.4" customHeight="1" x14ac:dyDescent="0.25"/>
    <row r="461" ht="14.4" customHeight="1" x14ac:dyDescent="0.25"/>
    <row r="462" ht="14.4" customHeight="1" x14ac:dyDescent="0.25"/>
    <row r="463" ht="14.4" customHeight="1" x14ac:dyDescent="0.25"/>
    <row r="464" ht="14.4" customHeight="1" x14ac:dyDescent="0.25"/>
    <row r="465" ht="14.4" customHeight="1" x14ac:dyDescent="0.25"/>
    <row r="466" ht="14.4" customHeight="1" x14ac:dyDescent="0.25"/>
    <row r="467" ht="14.4" customHeight="1" x14ac:dyDescent="0.25"/>
    <row r="468" ht="14.4" customHeight="1" x14ac:dyDescent="0.25"/>
    <row r="469" ht="14.4" customHeight="1" x14ac:dyDescent="0.25"/>
    <row r="470" ht="14.4" customHeight="1" x14ac:dyDescent="0.25"/>
    <row r="471" ht="14.4" customHeight="1" x14ac:dyDescent="0.25"/>
    <row r="472" ht="14.4" customHeight="1" x14ac:dyDescent="0.25"/>
    <row r="473" ht="14.4" customHeight="1" x14ac:dyDescent="0.25"/>
    <row r="474" ht="14.4" customHeight="1" x14ac:dyDescent="0.25"/>
    <row r="475" ht="14.4" customHeight="1" x14ac:dyDescent="0.25"/>
    <row r="476" ht="14.4" customHeight="1" x14ac:dyDescent="0.25"/>
    <row r="477" ht="14.4" customHeight="1" x14ac:dyDescent="0.25"/>
    <row r="478" ht="14.4" customHeight="1" x14ac:dyDescent="0.25"/>
    <row r="479" ht="14.4" customHeight="1" x14ac:dyDescent="0.25"/>
    <row r="480" ht="14.4" customHeight="1" x14ac:dyDescent="0.25"/>
    <row r="481" ht="14.4" customHeight="1" x14ac:dyDescent="0.25"/>
    <row r="482" ht="14.4" customHeight="1" x14ac:dyDescent="0.25"/>
    <row r="483" ht="14.4" customHeight="1" x14ac:dyDescent="0.25"/>
    <row r="484" ht="14.4" customHeight="1" x14ac:dyDescent="0.25"/>
    <row r="485" ht="14.4" customHeight="1" x14ac:dyDescent="0.25"/>
    <row r="486" ht="14.4" customHeight="1" x14ac:dyDescent="0.25"/>
    <row r="487" ht="14.4" customHeight="1" x14ac:dyDescent="0.25"/>
    <row r="488" ht="14.4" customHeight="1" x14ac:dyDescent="0.25"/>
    <row r="489" ht="14.4" customHeight="1" x14ac:dyDescent="0.25"/>
    <row r="490" ht="14.4" customHeight="1" x14ac:dyDescent="0.25"/>
    <row r="491" ht="14.4" customHeight="1" x14ac:dyDescent="0.25"/>
    <row r="492" ht="14.4" customHeight="1" x14ac:dyDescent="0.25"/>
    <row r="493" ht="14.4" customHeight="1" x14ac:dyDescent="0.25"/>
    <row r="494" ht="14.4" customHeight="1" x14ac:dyDescent="0.25"/>
  </sheetData>
  <mergeCells count="25">
    <mergeCell ref="J3:J4"/>
    <mergeCell ref="B3:B4"/>
    <mergeCell ref="E3:E4"/>
    <mergeCell ref="G3:G4"/>
    <mergeCell ref="F3:F4"/>
    <mergeCell ref="H3:H4"/>
    <mergeCell ref="A22:C22"/>
    <mergeCell ref="D22:F22"/>
    <mergeCell ref="L5:N5"/>
    <mergeCell ref="L14:N14"/>
    <mergeCell ref="G22:I22"/>
    <mergeCell ref="B26:B27"/>
    <mergeCell ref="G89:I89"/>
    <mergeCell ref="A110:C110"/>
    <mergeCell ref="D110:F110"/>
    <mergeCell ref="A89:C89"/>
    <mergeCell ref="D89:F89"/>
    <mergeCell ref="A46:C46"/>
    <mergeCell ref="D46:F46"/>
    <mergeCell ref="A67:C67"/>
    <mergeCell ref="D67:F67"/>
    <mergeCell ref="G46:I46"/>
    <mergeCell ref="G67:I67"/>
    <mergeCell ref="D35:F35"/>
    <mergeCell ref="B28:B29"/>
  </mergeCells>
  <pageMargins left="0.43307086614173229" right="0.23622047244094491" top="0.15748031496062992" bottom="0.15748031496062992" header="0.31496062992125984" footer="0.31496062992125984"/>
  <pageSetup paperSize="8" scale="85" fitToHeight="0" orientation="landscape" r:id="rId1"/>
  <rowBreaks count="2" manualBreakCount="2">
    <brk id="65" max="9" man="1"/>
    <brk id="128" max="9" man="1"/>
  </rowBreaks>
  <colBreaks count="1" manualBreakCount="1">
    <brk id="15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61"/>
  <sheetViews>
    <sheetView showGridLines="0" zoomScale="117" zoomScaleNormal="117" workbookViewId="0">
      <pane ySplit="5" topLeftCell="A42" activePane="bottomLeft" state="frozen"/>
      <selection activeCell="A6" sqref="A6"/>
      <selection pane="bottomLeft" activeCell="E45" sqref="E45"/>
    </sheetView>
  </sheetViews>
  <sheetFormatPr defaultColWidth="9.109375" defaultRowHeight="15.6" x14ac:dyDescent="0.25"/>
  <cols>
    <col min="1" max="1" width="40.6640625" style="1" customWidth="1"/>
    <col min="2" max="2" width="2.6640625" style="76" customWidth="1"/>
    <col min="3" max="3" width="16" style="76" customWidth="1"/>
    <col min="4" max="4" width="15.5546875" style="512" customWidth="1"/>
    <col min="5" max="5" width="10.88671875" style="631" customWidth="1"/>
    <col min="6" max="6" width="12.109375" style="1" customWidth="1"/>
    <col min="7" max="7" width="12.6640625" style="512" customWidth="1"/>
    <col min="8" max="9" width="12.6640625" style="523" customWidth="1"/>
    <col min="10" max="10" width="12.6640625" style="71" customWidth="1"/>
    <col min="11" max="11" width="2.6640625" style="76" customWidth="1"/>
    <col min="12" max="12" width="14.5546875" style="1" bestFit="1" customWidth="1"/>
    <col min="13" max="13" width="10.33203125" style="1" bestFit="1" customWidth="1"/>
    <col min="14" max="14" width="8.44140625" style="1" bestFit="1" customWidth="1"/>
    <col min="15" max="16384" width="9.109375" style="1"/>
  </cols>
  <sheetData>
    <row r="1" spans="1:23" ht="21" x14ac:dyDescent="0.25">
      <c r="A1" s="19" t="s">
        <v>125</v>
      </c>
      <c r="B1" s="17"/>
      <c r="C1" s="19" t="s">
        <v>291</v>
      </c>
      <c r="D1" s="509"/>
      <c r="E1" s="630"/>
      <c r="F1" s="18"/>
      <c r="G1" s="509"/>
      <c r="H1" s="517"/>
      <c r="I1" s="517"/>
      <c r="J1" s="99"/>
      <c r="K1" s="18"/>
      <c r="L1" s="19" t="s">
        <v>205</v>
      </c>
      <c r="Q1" s="761" t="s">
        <v>361</v>
      </c>
      <c r="R1" s="761"/>
      <c r="S1" s="761"/>
    </row>
    <row r="2" spans="1:23" ht="21" x14ac:dyDescent="0.25">
      <c r="A2" s="19" t="s">
        <v>354</v>
      </c>
      <c r="F2" s="18"/>
      <c r="G2" s="509"/>
      <c r="H2" s="517"/>
      <c r="I2" s="517"/>
      <c r="J2" s="99"/>
      <c r="K2" s="18"/>
      <c r="L2" s="19" t="s">
        <v>354</v>
      </c>
      <c r="Q2" s="761"/>
      <c r="R2" s="761"/>
      <c r="S2" s="761"/>
    </row>
    <row r="3" spans="1:23" s="8" customFormat="1" ht="21.6" thickBot="1" x14ac:dyDescent="0.3">
      <c r="A3" s="88" t="s">
        <v>132</v>
      </c>
      <c r="B3" s="19"/>
      <c r="C3" s="777">
        <v>2022</v>
      </c>
      <c r="D3" s="778"/>
      <c r="E3" s="779"/>
      <c r="F3" s="762">
        <v>2021</v>
      </c>
      <c r="G3" s="763"/>
      <c r="H3" s="763"/>
      <c r="I3" s="763"/>
      <c r="J3" s="764"/>
      <c r="K3" s="86"/>
      <c r="L3"/>
      <c r="M3"/>
      <c r="N3"/>
      <c r="O3"/>
      <c r="P3"/>
      <c r="Q3"/>
      <c r="R3"/>
      <c r="S3"/>
      <c r="T3"/>
      <c r="U3"/>
      <c r="V3"/>
      <c r="W3"/>
    </row>
    <row r="4" spans="1:23" ht="15" customHeight="1" x14ac:dyDescent="0.25">
      <c r="A4" s="9"/>
      <c r="B4" s="9"/>
      <c r="C4" s="772" t="s">
        <v>277</v>
      </c>
      <c r="D4" s="774" t="s">
        <v>33</v>
      </c>
      <c r="E4" s="776" t="s">
        <v>276</v>
      </c>
      <c r="F4" s="765">
        <v>2020</v>
      </c>
      <c r="G4" s="767"/>
      <c r="H4" s="768"/>
      <c r="I4" s="524" t="s">
        <v>82</v>
      </c>
      <c r="J4" s="92" t="s">
        <v>76</v>
      </c>
      <c r="K4" s="9"/>
      <c r="L4"/>
      <c r="M4"/>
      <c r="N4"/>
      <c r="O4" s="524" t="s">
        <v>82</v>
      </c>
      <c r="P4"/>
      <c r="Q4"/>
      <c r="R4"/>
      <c r="S4"/>
      <c r="T4"/>
      <c r="U4"/>
      <c r="V4"/>
      <c r="W4"/>
    </row>
    <row r="5" spans="1:23" x14ac:dyDescent="0.25">
      <c r="A5" s="9"/>
      <c r="B5" s="9"/>
      <c r="C5" s="773"/>
      <c r="D5" s="775"/>
      <c r="E5" s="776"/>
      <c r="F5" s="766"/>
      <c r="G5" s="510" t="s">
        <v>100</v>
      </c>
      <c r="H5" s="518" t="s">
        <v>130</v>
      </c>
      <c r="I5" s="525" t="str">
        <f>H31</f>
        <v>November</v>
      </c>
      <c r="J5" s="128" t="s">
        <v>131</v>
      </c>
      <c r="K5" s="9"/>
      <c r="L5"/>
      <c r="M5"/>
      <c r="N5"/>
      <c r="O5" s="575" t="s">
        <v>355</v>
      </c>
      <c r="P5"/>
      <c r="Q5"/>
      <c r="R5"/>
      <c r="S5"/>
      <c r="T5"/>
      <c r="U5"/>
      <c r="V5"/>
      <c r="W5"/>
    </row>
    <row r="6" spans="1:23" x14ac:dyDescent="0.25">
      <c r="A6" s="9"/>
      <c r="B6" s="9"/>
      <c r="C6" s="9"/>
      <c r="D6" s="511"/>
      <c r="E6" s="632"/>
      <c r="F6" s="706"/>
      <c r="G6" s="511"/>
      <c r="H6" s="519"/>
      <c r="I6" s="519"/>
      <c r="J6" s="100"/>
      <c r="K6" s="9"/>
      <c r="L6"/>
      <c r="M6"/>
      <c r="N6"/>
      <c r="O6"/>
      <c r="P6"/>
      <c r="Q6"/>
      <c r="R6"/>
      <c r="S6"/>
      <c r="T6"/>
      <c r="U6"/>
      <c r="V6"/>
      <c r="W6"/>
    </row>
    <row r="7" spans="1:23" s="76" customFormat="1" x14ac:dyDescent="0.25">
      <c r="A7" s="9"/>
      <c r="B7" s="9"/>
      <c r="C7" s="9"/>
      <c r="D7" s="511"/>
      <c r="E7" s="632"/>
      <c r="F7" s="706"/>
      <c r="G7" s="511"/>
      <c r="H7" s="519"/>
      <c r="I7" s="519"/>
      <c r="J7" s="100"/>
      <c r="K7" s="9"/>
      <c r="L7" s="64"/>
      <c r="M7" s="130"/>
      <c r="N7" s="130"/>
    </row>
    <row r="8" spans="1:23" x14ac:dyDescent="0.25">
      <c r="A8" s="66" t="s">
        <v>105</v>
      </c>
      <c r="B8" s="66"/>
      <c r="C8" s="22">
        <f>+D8-G8</f>
        <v>2757</v>
      </c>
      <c r="D8" s="26">
        <f>SUM('CMS, Leisure &amp; Ins'!E69)</f>
        <v>167327.25</v>
      </c>
      <c r="E8" s="633">
        <f>+C8/G8</f>
        <v>1.6752724140602568E-2</v>
      </c>
      <c r="F8" s="707">
        <v>145374</v>
      </c>
      <c r="G8" s="24">
        <f>'CMS, Leisure &amp; Ins'!H69</f>
        <v>164570.25</v>
      </c>
      <c r="H8" s="23">
        <f>G8/12*Summary!$G$31</f>
        <v>150856.0625</v>
      </c>
      <c r="I8" s="25">
        <f>'CMS, Leisure &amp; Ins'!J69</f>
        <v>131536.14000000001</v>
      </c>
      <c r="J8" s="25">
        <f>H8-I8</f>
        <v>19319.922499999986</v>
      </c>
      <c r="K8" s="20"/>
      <c r="L8" s="8" t="s">
        <v>212</v>
      </c>
      <c r="O8" s="576">
        <f>+O10+O16</f>
        <v>29180.73</v>
      </c>
      <c r="P8" s="76"/>
      <c r="Q8" s="76"/>
    </row>
    <row r="9" spans="1:23" x14ac:dyDescent="0.25">
      <c r="A9" s="66" t="s">
        <v>52</v>
      </c>
      <c r="B9" s="66"/>
      <c r="C9" s="22">
        <f t="shared" ref="C9:C22" si="0">+D9-G9</f>
        <v>11058</v>
      </c>
      <c r="D9" s="26">
        <f>SUM('CMS, Leisure &amp; Ins'!Q72)</f>
        <v>80055</v>
      </c>
      <c r="E9" s="633">
        <f t="shared" ref="E9:E24" si="1">+C9/G9</f>
        <v>0.16026783773207531</v>
      </c>
      <c r="F9" s="707">
        <v>64188</v>
      </c>
      <c r="G9" s="26">
        <f>SUM('CMS, Leisure &amp; Ins'!T72)</f>
        <v>68997</v>
      </c>
      <c r="H9" s="23">
        <f>G9/12*Summary!$G$31</f>
        <v>63247.25</v>
      </c>
      <c r="I9" s="23">
        <f>SUM('CMS, Leisure &amp; Ins'!V72)</f>
        <v>56007.458000000006</v>
      </c>
      <c r="J9" s="25">
        <f t="shared" ref="J9:J22" si="2">H9-I9</f>
        <v>7239.791999999994</v>
      </c>
      <c r="K9" s="21"/>
      <c r="O9" s="577"/>
      <c r="P9" s="76"/>
      <c r="Q9" s="76"/>
    </row>
    <row r="10" spans="1:23" x14ac:dyDescent="0.25">
      <c r="A10" s="66" t="s">
        <v>1</v>
      </c>
      <c r="B10" s="66"/>
      <c r="C10" s="22">
        <f t="shared" si="0"/>
        <v>5350</v>
      </c>
      <c r="D10" s="26">
        <f>SUM('CMS, Leisure &amp; Ins'!AC17)</f>
        <v>52904</v>
      </c>
      <c r="E10" s="633">
        <f t="shared" si="1"/>
        <v>0.11250368002691677</v>
      </c>
      <c r="F10" s="707">
        <v>39636</v>
      </c>
      <c r="G10" s="26">
        <f>SUM('CMS, Leisure &amp; Ins'!AF17)</f>
        <v>47554</v>
      </c>
      <c r="H10" s="23">
        <f>G10/12*Summary!$G$31</f>
        <v>43591.166666666672</v>
      </c>
      <c r="I10" s="23">
        <f>SUM('CMS, Leisure &amp; Ins'!AH17)</f>
        <v>47553.350000000006</v>
      </c>
      <c r="J10" s="25">
        <f t="shared" si="2"/>
        <v>-3962.1833333333343</v>
      </c>
      <c r="K10" s="21"/>
      <c r="L10" s="573" t="s">
        <v>206</v>
      </c>
      <c r="M10" s="63"/>
      <c r="N10" s="63"/>
      <c r="O10" s="576">
        <f>SUM(O11:O15)</f>
        <v>28291.73</v>
      </c>
      <c r="P10" s="76"/>
      <c r="Q10" s="76"/>
    </row>
    <row r="11" spans="1:23" x14ac:dyDescent="0.25">
      <c r="A11" s="66" t="s">
        <v>40</v>
      </c>
      <c r="B11" s="66"/>
      <c r="C11" s="22">
        <f t="shared" si="0"/>
        <v>612.27999999999975</v>
      </c>
      <c r="D11" s="26">
        <f>'All Blocks'!F31</f>
        <v>3506.2799999999997</v>
      </c>
      <c r="E11" s="633">
        <f t="shared" si="1"/>
        <v>0.21156876295784371</v>
      </c>
      <c r="F11" s="707">
        <v>1893</v>
      </c>
      <c r="G11" s="26">
        <f>'All Blocks'!I31</f>
        <v>2894</v>
      </c>
      <c r="H11" s="23">
        <f>G11/12*Summary!$G$31</f>
        <v>2652.833333333333</v>
      </c>
      <c r="I11" s="23">
        <f>SUM('All Blocks'!K31)</f>
        <v>2546.7766666666666</v>
      </c>
      <c r="J11" s="25">
        <f t="shared" si="2"/>
        <v>106.05666666666639</v>
      </c>
      <c r="K11" s="21"/>
      <c r="L11" s="31" t="s">
        <v>207</v>
      </c>
      <c r="M11" s="31"/>
      <c r="N11" s="31"/>
      <c r="O11" s="577">
        <v>350</v>
      </c>
      <c r="P11" s="76"/>
      <c r="Q11" s="76"/>
    </row>
    <row r="12" spans="1:23" x14ac:dyDescent="0.25">
      <c r="A12" s="66" t="s">
        <v>41</v>
      </c>
      <c r="B12" s="66"/>
      <c r="C12" s="22">
        <f t="shared" si="0"/>
        <v>500</v>
      </c>
      <c r="D12" s="26">
        <f>SUM('All Blocks'!F46)</f>
        <v>4500</v>
      </c>
      <c r="E12" s="633">
        <f t="shared" si="1"/>
        <v>0.125</v>
      </c>
      <c r="F12" s="707">
        <v>3475</v>
      </c>
      <c r="G12" s="26">
        <f>SUM('All Blocks'!I46)</f>
        <v>4000</v>
      </c>
      <c r="H12" s="23">
        <f>G12/12*Summary!$G$31</f>
        <v>3666.6666666666665</v>
      </c>
      <c r="I12" s="23">
        <f>SUM('All Blocks'!K46)</f>
        <v>3666.666666666667</v>
      </c>
      <c r="J12" s="25">
        <f t="shared" si="2"/>
        <v>0</v>
      </c>
      <c r="K12" s="21"/>
      <c r="L12" s="31" t="s">
        <v>208</v>
      </c>
      <c r="M12" s="31"/>
      <c r="N12" s="31"/>
      <c r="O12" s="577">
        <v>2100</v>
      </c>
      <c r="P12" s="76"/>
      <c r="Q12" s="76"/>
    </row>
    <row r="13" spans="1:23" x14ac:dyDescent="0.25">
      <c r="A13" s="66" t="s">
        <v>42</v>
      </c>
      <c r="B13" s="66"/>
      <c r="C13" s="22">
        <f t="shared" si="0"/>
        <v>1152.8000000000002</v>
      </c>
      <c r="D13" s="24">
        <f>SUM('All Blocks'!P31)</f>
        <v>7471.8</v>
      </c>
      <c r="E13" s="633">
        <f t="shared" si="1"/>
        <v>0.18243392941921194</v>
      </c>
      <c r="F13" s="707">
        <v>5814</v>
      </c>
      <c r="G13" s="24">
        <f>SUM('All Blocks'!S31)</f>
        <v>6319</v>
      </c>
      <c r="H13" s="23">
        <f>G13/12*Summary!$G$31</f>
        <v>5792.416666666667</v>
      </c>
      <c r="I13" s="25">
        <f>SUM('All Blocks'!U31)</f>
        <v>6167.5033333333331</v>
      </c>
      <c r="J13" s="25">
        <f t="shared" si="2"/>
        <v>-375.08666666666613</v>
      </c>
      <c r="K13" s="20"/>
      <c r="L13" s="31" t="s">
        <v>209</v>
      </c>
      <c r="M13" s="31"/>
      <c r="N13" s="31"/>
      <c r="O13" s="577">
        <v>25720</v>
      </c>
      <c r="P13" s="76"/>
      <c r="Q13" s="76"/>
    </row>
    <row r="14" spans="1:23" x14ac:dyDescent="0.25">
      <c r="A14" s="66" t="s">
        <v>43</v>
      </c>
      <c r="B14" s="66"/>
      <c r="C14" s="22">
        <f t="shared" si="0"/>
        <v>1038.92</v>
      </c>
      <c r="D14" s="24">
        <f>SUM('All Blocks'!Z31)</f>
        <v>4239.92</v>
      </c>
      <c r="E14" s="633">
        <f t="shared" si="1"/>
        <v>0.32456107466416745</v>
      </c>
      <c r="F14" s="707">
        <v>2814</v>
      </c>
      <c r="G14" s="24">
        <f>SUM('All Blocks'!AC31)</f>
        <v>3201</v>
      </c>
      <c r="H14" s="23">
        <f>G14/12*Summary!$G$31</f>
        <v>2934.25</v>
      </c>
      <c r="I14" s="25">
        <f>SUM('All Blocks'!AE31)</f>
        <v>3066.373333333333</v>
      </c>
      <c r="J14" s="25">
        <f t="shared" si="2"/>
        <v>-132.12333333333299</v>
      </c>
      <c r="L14" s="31" t="s">
        <v>210</v>
      </c>
      <c r="M14" s="31"/>
      <c r="N14" s="31"/>
      <c r="O14" s="577">
        <v>21.73</v>
      </c>
      <c r="P14" s="76"/>
      <c r="Q14" s="76"/>
    </row>
    <row r="15" spans="1:23" x14ac:dyDescent="0.25">
      <c r="A15" s="66" t="s">
        <v>44</v>
      </c>
      <c r="B15" s="66"/>
      <c r="C15" s="22">
        <f t="shared" si="0"/>
        <v>1633.7999999999993</v>
      </c>
      <c r="D15" s="24">
        <f>SUM('All Blocks'!AJ31)</f>
        <v>10754.8</v>
      </c>
      <c r="E15" s="633">
        <f t="shared" si="1"/>
        <v>0.17912509593246348</v>
      </c>
      <c r="F15" s="707">
        <v>8176</v>
      </c>
      <c r="G15" s="24">
        <f>SUM('All Blocks'!AM31)</f>
        <v>9121</v>
      </c>
      <c r="H15" s="23">
        <f>G15/12*Summary!$G$31</f>
        <v>8360.9166666666679</v>
      </c>
      <c r="I15" s="25">
        <f>SUM('All Blocks'!AO31)</f>
        <v>8587.5866666666661</v>
      </c>
      <c r="J15" s="25">
        <f>H15-I15</f>
        <v>-226.66999999999825</v>
      </c>
      <c r="L15" s="31" t="s">
        <v>282</v>
      </c>
      <c r="M15" s="63"/>
      <c r="N15" s="63"/>
      <c r="O15" s="577">
        <v>100</v>
      </c>
      <c r="P15" s="76"/>
      <c r="Q15" s="76"/>
    </row>
    <row r="16" spans="1:23" x14ac:dyDescent="0.25">
      <c r="A16" s="67" t="s">
        <v>45</v>
      </c>
      <c r="B16" s="67"/>
      <c r="C16" s="22">
        <f t="shared" si="0"/>
        <v>1602.3999999999996</v>
      </c>
      <c r="D16" s="24">
        <f>SUM('All Blocks'!AT31)</f>
        <v>11659.4</v>
      </c>
      <c r="E16" s="633">
        <f t="shared" si="1"/>
        <v>0.15933180869046432</v>
      </c>
      <c r="F16" s="707">
        <v>5762</v>
      </c>
      <c r="G16" s="24">
        <f>SUM('All Blocks'!AW31)</f>
        <v>10057</v>
      </c>
      <c r="H16" s="23">
        <f>G16/12*Summary!$G$31</f>
        <v>9218.9166666666679</v>
      </c>
      <c r="I16" s="25">
        <f>SUM('All Blocks'!AY31)</f>
        <v>9473.3033333333333</v>
      </c>
      <c r="J16" s="25">
        <f t="shared" si="2"/>
        <v>-254.38666666666541</v>
      </c>
      <c r="L16" s="573" t="s">
        <v>211</v>
      </c>
      <c r="M16" s="63"/>
      <c r="N16" s="63"/>
      <c r="O16" s="576">
        <v>889</v>
      </c>
      <c r="P16" s="76"/>
      <c r="Q16" s="76"/>
    </row>
    <row r="17" spans="1:17" x14ac:dyDescent="0.25">
      <c r="A17" s="67" t="s">
        <v>46</v>
      </c>
      <c r="B17" s="67"/>
      <c r="C17" s="22">
        <f t="shared" si="0"/>
        <v>2051.7999999999993</v>
      </c>
      <c r="D17" s="24">
        <f>SUM('All Blocks'!F87)</f>
        <v>8223.7999999999993</v>
      </c>
      <c r="E17" s="633">
        <f t="shared" si="1"/>
        <v>0.33243681140635112</v>
      </c>
      <c r="F17" s="707">
        <v>3705</v>
      </c>
      <c r="G17" s="24">
        <f>SUM('All Blocks'!I87)</f>
        <v>6172</v>
      </c>
      <c r="H17" s="23">
        <f>G17/12*Summary!$G$31</f>
        <v>5657.666666666667</v>
      </c>
      <c r="I17" s="25">
        <f>SUM('All Blocks'!K87)</f>
        <v>7206.32</v>
      </c>
      <c r="J17" s="25">
        <f t="shared" si="2"/>
        <v>-1548.6533333333327</v>
      </c>
      <c r="L17" s="63"/>
      <c r="M17" s="63"/>
      <c r="N17" s="63"/>
      <c r="O17" s="577"/>
      <c r="P17" s="76"/>
      <c r="Q17" s="76"/>
    </row>
    <row r="18" spans="1:17" x14ac:dyDescent="0.25">
      <c r="A18" s="67" t="s">
        <v>47</v>
      </c>
      <c r="B18" s="67"/>
      <c r="C18" s="22">
        <f t="shared" si="0"/>
        <v>758.80000000000018</v>
      </c>
      <c r="D18" s="24">
        <f>SUM('All Blocks'!P87)</f>
        <v>7437.8</v>
      </c>
      <c r="E18" s="633">
        <f t="shared" si="1"/>
        <v>0.11360982182961524</v>
      </c>
      <c r="F18" s="707">
        <v>6224.5</v>
      </c>
      <c r="G18" s="24">
        <f>SUM('All Blocks'!S87)</f>
        <v>6679</v>
      </c>
      <c r="H18" s="23">
        <f>G18/12*Summary!$G$31</f>
        <v>6122.416666666667</v>
      </c>
      <c r="I18" s="25">
        <f>SUM('All Blocks'!U87)</f>
        <v>6313.2133333333331</v>
      </c>
      <c r="J18" s="25">
        <f t="shared" si="2"/>
        <v>-190.79666666666617</v>
      </c>
      <c r="L18" s="63"/>
      <c r="M18" s="63"/>
      <c r="N18" s="63"/>
      <c r="O18" s="574" t="s">
        <v>137</v>
      </c>
      <c r="P18" s="76"/>
      <c r="Q18" s="76"/>
    </row>
    <row r="19" spans="1:17" x14ac:dyDescent="0.25">
      <c r="A19" s="67" t="s">
        <v>48</v>
      </c>
      <c r="B19" s="67"/>
      <c r="C19" s="22">
        <f t="shared" si="0"/>
        <v>35.799999999999272</v>
      </c>
      <c r="D19" s="24">
        <f>SUM('All Blocks'!Z87)</f>
        <v>23360.799999999999</v>
      </c>
      <c r="E19" s="633">
        <f t="shared" si="1"/>
        <v>1.5348338692389826E-3</v>
      </c>
      <c r="F19" s="707">
        <v>23411</v>
      </c>
      <c r="G19" s="24">
        <f>SUM('All Blocks'!AC87)</f>
        <v>23325</v>
      </c>
      <c r="H19" s="23">
        <f>G19/12*Summary!$G$31</f>
        <v>21381.25</v>
      </c>
      <c r="I19" s="25">
        <f>SUM('All Blocks'!AE87)</f>
        <v>21799.55</v>
      </c>
      <c r="J19" s="25">
        <f t="shared" si="2"/>
        <v>-418.29999999999927</v>
      </c>
      <c r="L19" s="63"/>
      <c r="M19" s="63"/>
      <c r="N19" s="63"/>
      <c r="P19" s="76"/>
      <c r="Q19" s="76"/>
    </row>
    <row r="20" spans="1:17" x14ac:dyDescent="0.25">
      <c r="A20" s="67" t="s">
        <v>49</v>
      </c>
      <c r="B20" s="67"/>
      <c r="C20" s="22">
        <f t="shared" si="0"/>
        <v>612.31999999999971</v>
      </c>
      <c r="D20" s="24">
        <f>SUM('All Blocks'!AJ87)</f>
        <v>3285.3199999999997</v>
      </c>
      <c r="E20" s="633">
        <f t="shared" si="1"/>
        <v>0.22907594463150008</v>
      </c>
      <c r="F20" s="707">
        <v>2012</v>
      </c>
      <c r="G20" s="24">
        <f>SUM('All Blocks'!AM87)</f>
        <v>2673</v>
      </c>
      <c r="H20" s="23">
        <f>G20/12*Summary!$G$31</f>
        <v>2450.25</v>
      </c>
      <c r="I20" s="25">
        <f>SUM('All Blocks'!AO87)</f>
        <v>2899.92</v>
      </c>
      <c r="J20" s="25">
        <f t="shared" si="2"/>
        <v>-449.67000000000007</v>
      </c>
      <c r="L20" s="63"/>
      <c r="M20" s="63"/>
      <c r="N20" s="63"/>
      <c r="P20" s="76"/>
      <c r="Q20" s="76"/>
    </row>
    <row r="21" spans="1:17" x14ac:dyDescent="0.25">
      <c r="A21" s="66" t="s">
        <v>50</v>
      </c>
      <c r="B21" s="66"/>
      <c r="C21" s="22">
        <f t="shared" si="0"/>
        <v>0</v>
      </c>
      <c r="D21" s="24">
        <f>SUM('All Blocks'!P46)</f>
        <v>4440</v>
      </c>
      <c r="E21" s="633">
        <f t="shared" si="1"/>
        <v>0</v>
      </c>
      <c r="F21" s="707">
        <v>2905</v>
      </c>
      <c r="G21" s="24">
        <f>SUM('All Blocks'!S46)</f>
        <v>4440</v>
      </c>
      <c r="H21" s="23">
        <f>G21/12*Summary!$G$31</f>
        <v>4070</v>
      </c>
      <c r="I21" s="25">
        <f>SUM('All Blocks'!U46)</f>
        <v>4070</v>
      </c>
      <c r="J21" s="25">
        <f t="shared" si="2"/>
        <v>0</v>
      </c>
      <c r="L21" s="63"/>
      <c r="M21" s="63"/>
      <c r="N21" s="63"/>
      <c r="P21" s="76"/>
      <c r="Q21" s="76"/>
    </row>
    <row r="22" spans="1:17" x14ac:dyDescent="0.25">
      <c r="A22" s="66" t="s">
        <v>51</v>
      </c>
      <c r="B22" s="66"/>
      <c r="C22" s="22">
        <f t="shared" si="0"/>
        <v>464.30000000000018</v>
      </c>
      <c r="D22" s="24">
        <f>SUM('All Blocks'!AT87)</f>
        <v>4075.3</v>
      </c>
      <c r="E22" s="633">
        <f t="shared" si="1"/>
        <v>0.12857934090279705</v>
      </c>
      <c r="F22" s="707">
        <v>2685</v>
      </c>
      <c r="G22" s="24">
        <f>SUM('All Blocks'!AW87)</f>
        <v>3611</v>
      </c>
      <c r="H22" s="23">
        <f>G22/12*Summary!$G$31</f>
        <v>3310.0833333333335</v>
      </c>
      <c r="I22" s="25">
        <f>SUM('All Blocks'!AY87)</f>
        <v>3554.3533333333335</v>
      </c>
      <c r="J22" s="25">
        <f t="shared" si="2"/>
        <v>-244.26999999999998</v>
      </c>
      <c r="L22" s="63"/>
      <c r="M22" s="63"/>
      <c r="N22" s="63"/>
      <c r="P22" s="76"/>
      <c r="Q22" s="76"/>
    </row>
    <row r="23" spans="1:17" x14ac:dyDescent="0.25">
      <c r="F23" s="708"/>
      <c r="H23" s="25"/>
      <c r="I23" s="25"/>
      <c r="J23" s="31"/>
      <c r="L23" s="31"/>
      <c r="M23" s="31"/>
      <c r="N23" s="31"/>
      <c r="P23" s="76"/>
      <c r="Q23" s="76"/>
    </row>
    <row r="24" spans="1:17" ht="16.2" thickBot="1" x14ac:dyDescent="0.3">
      <c r="A24" s="68" t="s">
        <v>0</v>
      </c>
      <c r="B24" s="74"/>
      <c r="C24" s="27">
        <f>SUM(C8:C23)</f>
        <v>29628.219999999994</v>
      </c>
      <c r="D24" s="28">
        <f>SUM(D8:D23)</f>
        <v>393241.47</v>
      </c>
      <c r="E24" s="633">
        <f t="shared" si="1"/>
        <v>8.1482784249473847E-2</v>
      </c>
      <c r="F24" s="709">
        <f>SUM(F8:F23)</f>
        <v>318074.5</v>
      </c>
      <c r="G24" s="28">
        <f>SUM(G8:G23)</f>
        <v>363613.25</v>
      </c>
      <c r="H24" s="29">
        <f>SUM(H8:H22)</f>
        <v>333312.14583333343</v>
      </c>
      <c r="I24" s="29">
        <f t="shared" ref="I24:J24" si="3">SUM(I8:I23)</f>
        <v>314448.51466666663</v>
      </c>
      <c r="J24" s="29">
        <f t="shared" si="3"/>
        <v>18863.631166666655</v>
      </c>
      <c r="L24" s="31"/>
      <c r="M24" s="31"/>
      <c r="N24" s="31"/>
      <c r="P24" s="76"/>
      <c r="Q24" s="76"/>
    </row>
    <row r="25" spans="1:17" x14ac:dyDescent="0.25">
      <c r="A25" s="77" t="s">
        <v>137</v>
      </c>
      <c r="B25" s="7"/>
      <c r="C25" s="7"/>
      <c r="D25" s="513"/>
      <c r="E25" s="634"/>
      <c r="F25" s="7"/>
      <c r="G25" s="513"/>
      <c r="H25" s="520"/>
      <c r="I25" s="520"/>
      <c r="J25" s="101"/>
      <c r="K25" s="7"/>
      <c r="P25" s="76"/>
      <c r="Q25" s="76"/>
    </row>
    <row r="26" spans="1:17" ht="19.8" x14ac:dyDescent="0.25">
      <c r="A26" s="116" t="s">
        <v>360</v>
      </c>
      <c r="B26" s="116"/>
      <c r="C26" s="116"/>
      <c r="D26" s="717">
        <v>5.0999999999999997E-2</v>
      </c>
      <c r="G26" s="127"/>
      <c r="H26"/>
      <c r="K26" s="71"/>
      <c r="L26" s="76"/>
      <c r="M26" s="391"/>
      <c r="P26" s="76"/>
      <c r="Q26" s="76"/>
    </row>
    <row r="27" spans="1:17" x14ac:dyDescent="0.25">
      <c r="A27" s="76" t="s">
        <v>307</v>
      </c>
      <c r="B27" s="77"/>
      <c r="C27" s="127" t="s">
        <v>308</v>
      </c>
      <c r="D27" s="514">
        <v>5.0000000000000001E-3</v>
      </c>
      <c r="E27" s="635"/>
      <c r="G27" s="76"/>
      <c r="H27" s="512"/>
      <c r="K27" s="71"/>
      <c r="L27" s="76"/>
      <c r="M27" s="76"/>
      <c r="P27" s="76"/>
      <c r="Q27" s="76"/>
    </row>
    <row r="28" spans="1:17" s="76" customFormat="1" x14ac:dyDescent="0.25">
      <c r="B28" s="77"/>
      <c r="C28" s="127" t="s">
        <v>135</v>
      </c>
      <c r="D28" s="514">
        <v>1.7000000000000001E-2</v>
      </c>
      <c r="E28" s="635"/>
      <c r="H28" s="512"/>
      <c r="I28" s="523"/>
      <c r="J28" s="71"/>
      <c r="K28" s="71"/>
    </row>
    <row r="29" spans="1:17" x14ac:dyDescent="0.25">
      <c r="G29" s="76"/>
      <c r="H29" s="512"/>
      <c r="K29" s="71"/>
      <c r="L29" s="76"/>
      <c r="M29" s="76"/>
      <c r="P29" s="76"/>
      <c r="Q29" s="76"/>
    </row>
    <row r="30" spans="1:17" ht="21" customHeight="1" x14ac:dyDescent="0.25">
      <c r="A30" s="780" t="s">
        <v>129</v>
      </c>
      <c r="C30" s="769">
        <v>2021</v>
      </c>
      <c r="D30" s="770"/>
      <c r="G30" s="388">
        <v>2021</v>
      </c>
      <c r="H30" s="521"/>
      <c r="I30" s="771" t="s">
        <v>133</v>
      </c>
      <c r="J30" s="771"/>
      <c r="K30" s="387"/>
      <c r="L30" s="391"/>
      <c r="M30" s="76"/>
      <c r="P30" s="76"/>
      <c r="Q30" s="76"/>
    </row>
    <row r="31" spans="1:17" ht="14.4" customHeight="1" x14ac:dyDescent="0.25">
      <c r="A31" s="781"/>
      <c r="C31" s="787">
        <v>11</v>
      </c>
      <c r="D31" s="789" t="str">
        <f>TEXT(DATE(1900,C31,1),"MMMM")</f>
        <v>November</v>
      </c>
      <c r="G31" s="515">
        <v>11</v>
      </c>
      <c r="H31" s="389" t="str">
        <f>TEXT(DATE(1900,G31,1),"MMMM")</f>
        <v>November</v>
      </c>
      <c r="I31" s="771"/>
      <c r="J31" s="771"/>
      <c r="K31" s="387"/>
      <c r="L31" s="391"/>
      <c r="M31" s="76"/>
      <c r="P31" s="76"/>
      <c r="Q31" s="76"/>
    </row>
    <row r="32" spans="1:17" ht="14.4" customHeight="1" x14ac:dyDescent="0.25">
      <c r="A32" s="782"/>
      <c r="C32" s="788"/>
      <c r="D32" s="790"/>
      <c r="G32" s="516"/>
      <c r="H32" s="390"/>
      <c r="I32" s="771"/>
      <c r="J32" s="771"/>
      <c r="K32" s="387"/>
      <c r="L32" s="391"/>
      <c r="M32" s="76"/>
    </row>
    <row r="33" spans="1:17" x14ac:dyDescent="0.25">
      <c r="C33" s="785"/>
      <c r="D33" s="786"/>
      <c r="G33" s="392" t="s">
        <v>136</v>
      </c>
      <c r="H33" s="522"/>
      <c r="I33" s="771"/>
      <c r="J33" s="771"/>
      <c r="K33" s="71"/>
      <c r="L33" s="76"/>
      <c r="M33" s="76"/>
    </row>
    <row r="34" spans="1:17" x14ac:dyDescent="0.25">
      <c r="A34" s="783" t="s">
        <v>134</v>
      </c>
      <c r="B34" s="784"/>
      <c r="C34" s="784"/>
      <c r="D34" s="784"/>
    </row>
    <row r="35" spans="1:17" x14ac:dyDescent="0.25">
      <c r="A35" s="784"/>
      <c r="B35" s="784"/>
      <c r="C35" s="784"/>
      <c r="D35" s="784"/>
    </row>
    <row r="36" spans="1:17" x14ac:dyDescent="0.25">
      <c r="A36" s="784"/>
      <c r="B36" s="784"/>
      <c r="C36" s="784"/>
      <c r="D36" s="784"/>
    </row>
    <row r="39" spans="1:17" ht="21" x14ac:dyDescent="0.25">
      <c r="A39" s="683" t="s">
        <v>290</v>
      </c>
      <c r="B39" s="19"/>
      <c r="C39" s="777">
        <v>2022</v>
      </c>
      <c r="D39" s="778"/>
      <c r="E39" s="778"/>
      <c r="F39" s="779"/>
      <c r="G39" s="682">
        <v>2021</v>
      </c>
      <c r="I39" s="681"/>
      <c r="J39"/>
    </row>
    <row r="40" spans="1:17" ht="29.4" customHeight="1" x14ac:dyDescent="0.25">
      <c r="A40" s="9"/>
      <c r="B40" s="9"/>
      <c r="C40" s="721" t="s">
        <v>312</v>
      </c>
      <c r="D40" s="772" t="s">
        <v>289</v>
      </c>
      <c r="E40" s="720" t="s">
        <v>288</v>
      </c>
      <c r="F40" s="719" t="s">
        <v>276</v>
      </c>
      <c r="G40" s="102"/>
      <c r="I40" s="524"/>
      <c r="J40" s="112"/>
    </row>
    <row r="41" spans="1:17" x14ac:dyDescent="0.25">
      <c r="A41" s="9"/>
      <c r="B41" s="9"/>
      <c r="D41" s="773"/>
      <c r="E41" s="718"/>
      <c r="F41" s="719"/>
      <c r="G41" s="510" t="s">
        <v>100</v>
      </c>
      <c r="I41" s="679"/>
      <c r="J41" s="680"/>
    </row>
    <row r="42" spans="1:17" x14ac:dyDescent="0.25">
      <c r="A42" s="9"/>
      <c r="B42" s="9"/>
      <c r="D42" s="9"/>
      <c r="E42" s="511"/>
      <c r="F42" s="632"/>
      <c r="G42" s="511"/>
      <c r="I42" s="519"/>
      <c r="J42" s="100"/>
      <c r="L42"/>
      <c r="M42"/>
      <c r="N42"/>
      <c r="O42"/>
      <c r="P42"/>
      <c r="Q42"/>
    </row>
    <row r="43" spans="1:17" x14ac:dyDescent="0.25">
      <c r="A43" s="9"/>
      <c r="B43" s="9"/>
      <c r="D43" s="9"/>
      <c r="E43" s="511"/>
      <c r="F43" s="632"/>
      <c r="G43" s="511"/>
      <c r="I43" s="519"/>
      <c r="J43" s="100"/>
      <c r="L43"/>
      <c r="M43"/>
      <c r="N43"/>
      <c r="O43"/>
      <c r="P43"/>
      <c r="Q43"/>
    </row>
    <row r="44" spans="1:17" x14ac:dyDescent="0.25">
      <c r="A44" s="66" t="s">
        <v>105</v>
      </c>
      <c r="B44" s="66"/>
      <c r="C44" s="722">
        <f>+E44/187</f>
        <v>0</v>
      </c>
      <c r="D44" s="22">
        <f t="shared" ref="D44:D57" si="4">+E44-G44</f>
        <v>-18000</v>
      </c>
      <c r="E44" s="24">
        <f>SUM('CMS, Leisure &amp; Ins'!E67)</f>
        <v>0</v>
      </c>
      <c r="F44" s="633">
        <f t="shared" ref="F44:F57" si="5">+D44/G44</f>
        <v>-1</v>
      </c>
      <c r="G44" s="24">
        <v>18000</v>
      </c>
      <c r="I44"/>
      <c r="J44"/>
      <c r="K44"/>
      <c r="L44"/>
      <c r="M44"/>
      <c r="N44"/>
      <c r="O44"/>
      <c r="P44"/>
      <c r="Q44"/>
    </row>
    <row r="45" spans="1:17" x14ac:dyDescent="0.25">
      <c r="A45" s="711" t="s">
        <v>52</v>
      </c>
      <c r="B45" s="711"/>
      <c r="C45" s="722">
        <f>+E45/187</f>
        <v>72.994652406417117</v>
      </c>
      <c r="D45" s="712">
        <f t="shared" si="4"/>
        <v>0</v>
      </c>
      <c r="E45" s="713">
        <f>SUM('CMS, Leisure &amp; Ins'!Q69)</f>
        <v>13650</v>
      </c>
      <c r="F45" s="714">
        <f t="shared" si="5"/>
        <v>0</v>
      </c>
      <c r="G45" s="26">
        <v>13650</v>
      </c>
      <c r="I45"/>
      <c r="J45"/>
      <c r="K45"/>
      <c r="L45"/>
      <c r="M45"/>
      <c r="N45"/>
      <c r="O45"/>
      <c r="P45"/>
      <c r="Q45"/>
    </row>
    <row r="46" spans="1:17" x14ac:dyDescent="0.25">
      <c r="A46" s="711" t="s">
        <v>40</v>
      </c>
      <c r="B46" s="711"/>
      <c r="C46" s="722">
        <f>+E46/4</f>
        <v>250</v>
      </c>
      <c r="D46" s="712">
        <f t="shared" si="4"/>
        <v>0</v>
      </c>
      <c r="E46" s="713">
        <f>SUM('All Blocks'!F29)</f>
        <v>1000</v>
      </c>
      <c r="F46" s="714">
        <f t="shared" si="5"/>
        <v>0</v>
      </c>
      <c r="G46" s="26">
        <v>1000</v>
      </c>
      <c r="H46" s="1"/>
      <c r="I46"/>
      <c r="J46"/>
      <c r="K46"/>
      <c r="L46"/>
      <c r="M46"/>
      <c r="N46"/>
      <c r="O46"/>
      <c r="P46"/>
      <c r="Q46"/>
    </row>
    <row r="47" spans="1:17" x14ac:dyDescent="0.25">
      <c r="A47" s="711" t="s">
        <v>41</v>
      </c>
      <c r="B47" s="711"/>
      <c r="C47" s="722">
        <f>+E47/9</f>
        <v>444.44444444444446</v>
      </c>
      <c r="D47" s="712">
        <f t="shared" si="4"/>
        <v>500</v>
      </c>
      <c r="E47" s="713">
        <f>SUM('All Blocks'!F44)</f>
        <v>4000</v>
      </c>
      <c r="F47" s="714">
        <f t="shared" si="5"/>
        <v>0.14285714285714285</v>
      </c>
      <c r="G47" s="26">
        <v>3500</v>
      </c>
      <c r="H47" s="1"/>
      <c r="I47"/>
      <c r="J47"/>
      <c r="K47"/>
      <c r="L47"/>
      <c r="M47"/>
      <c r="N47"/>
      <c r="O47"/>
      <c r="P47"/>
      <c r="Q47"/>
    </row>
    <row r="48" spans="1:17" x14ac:dyDescent="0.25">
      <c r="A48" s="711" t="s">
        <v>42</v>
      </c>
      <c r="B48" s="711"/>
      <c r="C48" s="722">
        <f>+E48/6</f>
        <v>616.66666666666663</v>
      </c>
      <c r="D48" s="712">
        <f t="shared" si="4"/>
        <v>0</v>
      </c>
      <c r="E48" s="715">
        <f>SUM('All Blocks'!P29)</f>
        <v>3700</v>
      </c>
      <c r="F48" s="714">
        <f t="shared" si="5"/>
        <v>0</v>
      </c>
      <c r="G48" s="24">
        <v>3700</v>
      </c>
      <c r="H48" s="1"/>
      <c r="I48"/>
      <c r="J48"/>
      <c r="K48"/>
      <c r="L48"/>
      <c r="M48"/>
      <c r="N48"/>
      <c r="O48"/>
      <c r="P48"/>
      <c r="Q48"/>
    </row>
    <row r="49" spans="1:17" x14ac:dyDescent="0.25">
      <c r="A49" s="711" t="s">
        <v>43</v>
      </c>
      <c r="B49" s="711"/>
      <c r="C49" s="722">
        <f>+E49/7</f>
        <v>214.28571428571428</v>
      </c>
      <c r="D49" s="712">
        <f t="shared" si="4"/>
        <v>500</v>
      </c>
      <c r="E49" s="715">
        <f>SUM('All Blocks'!Z29)</f>
        <v>1500</v>
      </c>
      <c r="F49" s="714">
        <f t="shared" si="5"/>
        <v>0.5</v>
      </c>
      <c r="G49" s="24">
        <v>1000</v>
      </c>
      <c r="H49" s="1"/>
      <c r="I49"/>
      <c r="J49"/>
      <c r="K49"/>
      <c r="L49"/>
      <c r="M49"/>
      <c r="N49"/>
      <c r="O49"/>
      <c r="P49"/>
      <c r="Q49"/>
    </row>
    <row r="50" spans="1:17" x14ac:dyDescent="0.25">
      <c r="A50" s="711" t="s">
        <v>44</v>
      </c>
      <c r="B50" s="711"/>
      <c r="C50" s="722">
        <f>+E50/12</f>
        <v>416.66666666666669</v>
      </c>
      <c r="D50" s="712">
        <f t="shared" si="4"/>
        <v>500</v>
      </c>
      <c r="E50" s="715">
        <f>SUM('All Blocks'!AJ29)</f>
        <v>5000</v>
      </c>
      <c r="F50" s="714">
        <f t="shared" si="5"/>
        <v>0.1111111111111111</v>
      </c>
      <c r="G50" s="24">
        <v>4500</v>
      </c>
      <c r="H50" s="1"/>
      <c r="I50"/>
      <c r="J50"/>
      <c r="K50"/>
      <c r="L50"/>
      <c r="M50"/>
      <c r="N50"/>
      <c r="O50"/>
      <c r="P50"/>
      <c r="Q50"/>
    </row>
    <row r="51" spans="1:17" x14ac:dyDescent="0.25">
      <c r="A51" s="716" t="s">
        <v>45</v>
      </c>
      <c r="B51" s="716"/>
      <c r="C51" s="722">
        <f>+E51/12</f>
        <v>666.66666666666663</v>
      </c>
      <c r="D51" s="712">
        <f t="shared" si="4"/>
        <v>1000</v>
      </c>
      <c r="E51" s="715">
        <f>SUM('All Blocks'!AT29)</f>
        <v>8000</v>
      </c>
      <c r="F51" s="714">
        <f t="shared" si="5"/>
        <v>0.14285714285714285</v>
      </c>
      <c r="G51" s="24">
        <v>7000</v>
      </c>
      <c r="H51" s="1"/>
      <c r="I51"/>
      <c r="J51"/>
      <c r="K51"/>
      <c r="L51"/>
      <c r="M51"/>
      <c r="N51"/>
      <c r="O51"/>
      <c r="P51"/>
      <c r="Q51"/>
    </row>
    <row r="52" spans="1:17" x14ac:dyDescent="0.25">
      <c r="A52" s="716" t="s">
        <v>46</v>
      </c>
      <c r="B52" s="716"/>
      <c r="C52" s="722">
        <f>+E52/8</f>
        <v>625</v>
      </c>
      <c r="D52" s="712">
        <f t="shared" si="4"/>
        <v>1250</v>
      </c>
      <c r="E52" s="715">
        <f>SUM('All Blocks'!F85)</f>
        <v>5000</v>
      </c>
      <c r="F52" s="714">
        <f t="shared" si="5"/>
        <v>0.33333333333333331</v>
      </c>
      <c r="G52" s="24">
        <v>3750</v>
      </c>
      <c r="H52" s="1"/>
      <c r="I52"/>
      <c r="J52"/>
      <c r="K52"/>
      <c r="L52"/>
      <c r="M52"/>
      <c r="N52"/>
      <c r="O52"/>
      <c r="P52"/>
      <c r="Q52"/>
    </row>
    <row r="53" spans="1:17" x14ac:dyDescent="0.25">
      <c r="A53" s="67" t="s">
        <v>47</v>
      </c>
      <c r="B53" s="67"/>
      <c r="C53" s="722">
        <f>+E53/12</f>
        <v>333.33333333333331</v>
      </c>
      <c r="D53" s="22">
        <f t="shared" si="4"/>
        <v>0</v>
      </c>
      <c r="E53" s="24">
        <f>SUM('All Blocks'!P85)</f>
        <v>4000</v>
      </c>
      <c r="F53" s="633">
        <f t="shared" si="5"/>
        <v>0</v>
      </c>
      <c r="G53" s="24">
        <v>4000</v>
      </c>
      <c r="H53" s="1"/>
      <c r="I53"/>
      <c r="J53"/>
      <c r="K53"/>
      <c r="L53"/>
      <c r="M53"/>
      <c r="N53"/>
      <c r="O53"/>
      <c r="P53"/>
      <c r="Q53"/>
    </row>
    <row r="54" spans="1:17" x14ac:dyDescent="0.25">
      <c r="A54" s="67" t="s">
        <v>48</v>
      </c>
      <c r="B54" s="67"/>
      <c r="C54" s="722">
        <f>+E54/32</f>
        <v>281.25</v>
      </c>
      <c r="D54" s="22">
        <f t="shared" si="4"/>
        <v>0</v>
      </c>
      <c r="E54" s="24">
        <f>SUM('All Blocks'!Z85)</f>
        <v>9000</v>
      </c>
      <c r="F54" s="633">
        <f t="shared" si="5"/>
        <v>0</v>
      </c>
      <c r="G54" s="24">
        <v>9000</v>
      </c>
      <c r="H54" s="1"/>
      <c r="I54"/>
      <c r="J54"/>
      <c r="K54"/>
      <c r="L54"/>
      <c r="M54"/>
      <c r="N54"/>
      <c r="O54"/>
      <c r="P54"/>
      <c r="Q54"/>
    </row>
    <row r="55" spans="1:17" x14ac:dyDescent="0.25">
      <c r="A55" s="67" t="s">
        <v>49</v>
      </c>
      <c r="B55" s="67"/>
      <c r="C55" s="722">
        <f>+E55/4</f>
        <v>300</v>
      </c>
      <c r="D55" s="22">
        <f t="shared" si="4"/>
        <v>0</v>
      </c>
      <c r="E55" s="24">
        <f>SUM('All Blocks'!AJ85)</f>
        <v>1200</v>
      </c>
      <c r="F55" s="633">
        <f t="shared" si="5"/>
        <v>0</v>
      </c>
      <c r="G55" s="24">
        <v>1200</v>
      </c>
      <c r="H55" s="1"/>
      <c r="I55"/>
      <c r="J55"/>
      <c r="K55"/>
      <c r="L55"/>
      <c r="M55"/>
      <c r="N55"/>
      <c r="O55"/>
      <c r="P55"/>
      <c r="Q55"/>
    </row>
    <row r="56" spans="1:17" x14ac:dyDescent="0.25">
      <c r="A56" s="66" t="s">
        <v>50</v>
      </c>
      <c r="B56" s="66"/>
      <c r="C56" s="722">
        <f>+E56/8</f>
        <v>500</v>
      </c>
      <c r="D56" s="22">
        <f t="shared" si="4"/>
        <v>0</v>
      </c>
      <c r="E56" s="24">
        <f>SUM('All Blocks'!P44)</f>
        <v>4000</v>
      </c>
      <c r="F56" s="633">
        <f t="shared" si="5"/>
        <v>0</v>
      </c>
      <c r="G56" s="24">
        <v>4000</v>
      </c>
      <c r="H56" s="1"/>
      <c r="I56"/>
      <c r="J56"/>
      <c r="K56"/>
      <c r="L56"/>
      <c r="M56"/>
      <c r="N56"/>
      <c r="O56"/>
      <c r="P56"/>
      <c r="Q56"/>
    </row>
    <row r="57" spans="1:17" x14ac:dyDescent="0.25">
      <c r="A57" s="66" t="s">
        <v>51</v>
      </c>
      <c r="B57" s="66"/>
      <c r="C57" s="722">
        <f>+E57/8</f>
        <v>187.5</v>
      </c>
      <c r="D57" s="22">
        <f t="shared" si="4"/>
        <v>0</v>
      </c>
      <c r="E57" s="24">
        <f>SUM('All Blocks'!AT85)</f>
        <v>1500</v>
      </c>
      <c r="F57" s="633">
        <f t="shared" si="5"/>
        <v>0</v>
      </c>
      <c r="G57" s="24">
        <v>1500</v>
      </c>
      <c r="H57" s="1"/>
      <c r="I57"/>
      <c r="J57"/>
      <c r="K57"/>
      <c r="L57"/>
      <c r="M57"/>
      <c r="N57"/>
      <c r="O57"/>
      <c r="P57"/>
      <c r="Q57"/>
    </row>
    <row r="58" spans="1:17" x14ac:dyDescent="0.25">
      <c r="A58" s="76"/>
      <c r="D58" s="76"/>
      <c r="E58" s="512"/>
      <c r="F58" s="631"/>
      <c r="H58" s="1"/>
      <c r="I58"/>
      <c r="J58"/>
      <c r="K58"/>
      <c r="L58"/>
      <c r="M58"/>
      <c r="N58"/>
      <c r="O58"/>
      <c r="P58"/>
      <c r="Q58"/>
    </row>
    <row r="59" spans="1:17" ht="16.2" thickBot="1" x14ac:dyDescent="0.3">
      <c r="A59" s="68" t="s">
        <v>0</v>
      </c>
      <c r="B59" s="74"/>
      <c r="D59" s="27">
        <f>SUM(D44:D58)</f>
        <v>-14250</v>
      </c>
      <c r="E59" s="28">
        <f>SUM(E44:E58)</f>
        <v>61550</v>
      </c>
      <c r="F59" s="633">
        <f>+D59/G59</f>
        <v>-0.1879947229551451</v>
      </c>
      <c r="G59" s="28">
        <f>SUM(G44:G58)</f>
        <v>75800</v>
      </c>
      <c r="H59" s="1"/>
      <c r="I59"/>
      <c r="J59"/>
      <c r="K59"/>
      <c r="L59"/>
      <c r="M59"/>
      <c r="N59"/>
      <c r="O59"/>
      <c r="P59"/>
      <c r="Q59"/>
    </row>
    <row r="60" spans="1:17" x14ac:dyDescent="0.25">
      <c r="H60"/>
      <c r="I60"/>
      <c r="J60"/>
      <c r="K60"/>
      <c r="L60"/>
      <c r="M60"/>
      <c r="N60"/>
      <c r="O60"/>
      <c r="P60"/>
      <c r="Q60"/>
    </row>
    <row r="61" spans="1:17" x14ac:dyDescent="0.25">
      <c r="H61"/>
      <c r="I61"/>
      <c r="J61"/>
      <c r="K61"/>
      <c r="L61"/>
      <c r="M61"/>
      <c r="N61"/>
      <c r="O61"/>
      <c r="P61"/>
      <c r="Q61"/>
    </row>
  </sheetData>
  <mergeCells count="17">
    <mergeCell ref="D40:D41"/>
    <mergeCell ref="A30:A32"/>
    <mergeCell ref="A34:D36"/>
    <mergeCell ref="C33:D33"/>
    <mergeCell ref="C31:C32"/>
    <mergeCell ref="D31:D32"/>
    <mergeCell ref="C39:F39"/>
    <mergeCell ref="Q1:S2"/>
    <mergeCell ref="F3:J3"/>
    <mergeCell ref="F4:F5"/>
    <mergeCell ref="G4:H4"/>
    <mergeCell ref="C30:D30"/>
    <mergeCell ref="I30:J33"/>
    <mergeCell ref="C4:C5"/>
    <mergeCell ref="D4:D5"/>
    <mergeCell ref="E4:E5"/>
    <mergeCell ref="C3:E3"/>
  </mergeCells>
  <phoneticPr fontId="29" type="noConversion"/>
  <pageMargins left="0.23622047244094491" right="0.23622047244094491" top="0.15748031496062992" bottom="0.15748031496062992" header="0.31496062992125984" footer="0.31496062992125984"/>
  <pageSetup paperSize="8" scale="90" orientation="landscape" horizontalDpi="4294967293" r:id="rId1"/>
  <headerFooter>
    <firstFooter>&amp;C5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T112"/>
  <sheetViews>
    <sheetView showGridLines="0" topLeftCell="Q1" zoomScale="80" zoomScaleNormal="80" workbookViewId="0">
      <pane ySplit="8" topLeftCell="A11" activePane="bottomLeft" state="frozen"/>
      <selection activeCell="H32" sqref="H32:I32"/>
      <selection pane="bottomLeft" activeCell="W31" sqref="V31:W31"/>
    </sheetView>
  </sheetViews>
  <sheetFormatPr defaultColWidth="9.109375" defaultRowHeight="14.4" x14ac:dyDescent="0.25"/>
  <cols>
    <col min="1" max="1" width="65.6640625" style="76" customWidth="1"/>
    <col min="2" max="2" width="1.6640625" style="76" customWidth="1"/>
    <col min="3" max="3" width="18.109375" style="90" customWidth="1"/>
    <col min="4" max="4" width="13.33203125" style="76" customWidth="1"/>
    <col min="5" max="5" width="11.5546875" style="76" customWidth="1"/>
    <col min="6" max="6" width="9.6640625" style="628" customWidth="1"/>
    <col min="7" max="7" width="2.6640625" style="76" customWidth="1"/>
    <col min="8" max="11" width="12.6640625" style="96" customWidth="1"/>
    <col min="12" max="12" width="2.6640625" style="76" customWidth="1"/>
    <col min="13" max="13" width="59" style="76" bestFit="1" customWidth="1"/>
    <col min="14" max="14" width="1.6640625" style="76" bestFit="1" customWidth="1"/>
    <col min="15" max="15" width="14.88671875" style="69" customWidth="1"/>
    <col min="16" max="16" width="15" style="76" customWidth="1"/>
    <col min="17" max="17" width="13.33203125" style="76" customWidth="1"/>
    <col min="18" max="18" width="9.6640625" style="69" customWidth="1"/>
    <col min="19" max="19" width="1.33203125" style="76" customWidth="1"/>
    <col min="20" max="20" width="12" style="76" bestFit="1" customWidth="1"/>
    <col min="21" max="21" width="14" style="76" bestFit="1" customWidth="1"/>
    <col min="22" max="22" width="10.44140625" style="76" bestFit="1" customWidth="1"/>
    <col min="23" max="23" width="15.109375" style="76" bestFit="1" customWidth="1"/>
    <col min="24" max="24" width="9.109375" style="76"/>
    <col min="25" max="25" width="42.6640625" style="76" customWidth="1"/>
    <col min="26" max="26" width="1.6640625" style="76" customWidth="1"/>
    <col min="27" max="27" width="12.88671875" style="76" customWidth="1"/>
    <col min="28" max="30" width="11.6640625" style="76" customWidth="1"/>
    <col min="31" max="31" width="2" style="76" customWidth="1"/>
    <col min="32" max="35" width="12.6640625" style="76" customWidth="1"/>
    <col min="36" max="16384" width="9.109375" style="76"/>
  </cols>
  <sheetData>
    <row r="1" spans="1:35" ht="25.8" x14ac:dyDescent="0.25">
      <c r="A1" s="552" t="s">
        <v>139</v>
      </c>
      <c r="B1" s="553"/>
      <c r="C1" s="553"/>
    </row>
    <row r="2" spans="1:35" x14ac:dyDescent="0.25">
      <c r="A2" s="791" t="s">
        <v>362</v>
      </c>
      <c r="B2" s="791"/>
      <c r="C2" s="791"/>
    </row>
    <row r="3" spans="1:35" ht="15" thickBot="1" x14ac:dyDescent="0.3">
      <c r="A3" s="791"/>
      <c r="B3" s="791"/>
      <c r="C3" s="791"/>
    </row>
    <row r="4" spans="1:35" ht="21" x14ac:dyDescent="0.25">
      <c r="A4" s="199" t="s">
        <v>137</v>
      </c>
      <c r="B4" s="406"/>
      <c r="C4" s="456"/>
      <c r="D4" s="406"/>
      <c r="E4" s="406"/>
      <c r="F4" s="636"/>
      <c r="G4" s="406"/>
      <c r="H4" s="294"/>
      <c r="I4" s="294"/>
      <c r="J4" s="294"/>
      <c r="K4" s="295"/>
      <c r="M4" s="199" t="s">
        <v>70</v>
      </c>
      <c r="N4" s="406"/>
      <c r="O4" s="451"/>
      <c r="P4" s="406"/>
      <c r="Q4" s="406"/>
      <c r="R4" s="636"/>
      <c r="S4" s="406"/>
      <c r="T4" s="294"/>
      <c r="U4" s="294"/>
      <c r="V4" s="294"/>
      <c r="W4" s="295"/>
      <c r="Y4" s="199" t="s">
        <v>7</v>
      </c>
      <c r="Z4" s="406"/>
      <c r="AA4" s="406"/>
      <c r="AB4" s="495" t="s">
        <v>137</v>
      </c>
      <c r="AC4" s="406"/>
      <c r="AD4" s="407"/>
      <c r="AE4" s="406"/>
      <c r="AF4" s="294"/>
      <c r="AG4" s="294"/>
      <c r="AH4" s="294"/>
      <c r="AI4" s="295"/>
    </row>
    <row r="5" spans="1:35" x14ac:dyDescent="0.3">
      <c r="A5" s="135"/>
      <c r="B5" s="6"/>
      <c r="C5" s="114"/>
      <c r="D5" s="6"/>
      <c r="E5" s="6"/>
      <c r="F5" s="637"/>
      <c r="G5" s="6"/>
      <c r="H5" s="194"/>
      <c r="I5" s="194"/>
      <c r="J5" s="194"/>
      <c r="K5" s="195"/>
      <c r="M5" s="169"/>
      <c r="N5" s="117"/>
      <c r="O5" s="454"/>
      <c r="P5" s="117"/>
      <c r="Q5" s="117"/>
      <c r="R5" s="645"/>
      <c r="S5" s="117"/>
      <c r="T5" s="194"/>
      <c r="U5" s="194"/>
      <c r="V5" s="194"/>
      <c r="W5" s="195"/>
      <c r="Y5" s="135"/>
      <c r="Z5" s="6"/>
      <c r="AA5" s="117"/>
      <c r="AB5" s="6"/>
      <c r="AC5" s="6"/>
      <c r="AD5" s="136"/>
      <c r="AE5" s="6"/>
      <c r="AF5" s="194"/>
      <c r="AG5" s="194"/>
      <c r="AH5" s="194"/>
      <c r="AI5" s="195"/>
    </row>
    <row r="6" spans="1:35" s="88" customFormat="1" ht="21" x14ac:dyDescent="0.4">
      <c r="A6" s="408" t="s">
        <v>132</v>
      </c>
      <c r="B6" s="196"/>
      <c r="C6" s="452" t="s">
        <v>144</v>
      </c>
      <c r="D6" s="804" t="s">
        <v>280</v>
      </c>
      <c r="E6" s="804"/>
      <c r="F6" s="804"/>
      <c r="G6" s="196"/>
      <c r="H6" s="803">
        <v>2021</v>
      </c>
      <c r="I6" s="792"/>
      <c r="J6" s="792"/>
      <c r="K6" s="793"/>
      <c r="L6" s="87"/>
      <c r="M6" s="477" t="s">
        <v>132</v>
      </c>
      <c r="N6" s="196"/>
      <c r="O6" s="452" t="s">
        <v>144</v>
      </c>
      <c r="P6" s="804" t="s">
        <v>280</v>
      </c>
      <c r="Q6" s="804"/>
      <c r="R6" s="804"/>
      <c r="S6" s="196"/>
      <c r="T6" s="800">
        <v>2021</v>
      </c>
      <c r="U6" s="801"/>
      <c r="V6" s="801"/>
      <c r="W6" s="802"/>
      <c r="Y6" s="408" t="s">
        <v>132</v>
      </c>
      <c r="Z6" s="196"/>
      <c r="AA6" s="325" t="s">
        <v>144</v>
      </c>
      <c r="AB6" s="804" t="s">
        <v>280</v>
      </c>
      <c r="AC6" s="804"/>
      <c r="AD6" s="804"/>
      <c r="AE6" s="196"/>
      <c r="AF6" s="792"/>
      <c r="AG6" s="792"/>
      <c r="AH6" s="792"/>
      <c r="AI6" s="793"/>
    </row>
    <row r="7" spans="1:35" ht="15" customHeight="1" x14ac:dyDescent="0.25">
      <c r="A7" s="184"/>
      <c r="B7" s="9"/>
      <c r="C7" s="114"/>
      <c r="D7" s="794" t="s">
        <v>279</v>
      </c>
      <c r="E7" s="796" t="s">
        <v>33</v>
      </c>
      <c r="F7" s="806" t="s">
        <v>276</v>
      </c>
      <c r="G7" s="9"/>
      <c r="H7" s="798" t="s">
        <v>101</v>
      </c>
      <c r="I7" s="799"/>
      <c r="J7" s="112" t="s">
        <v>82</v>
      </c>
      <c r="K7" s="140" t="s">
        <v>76</v>
      </c>
      <c r="L7" s="91"/>
      <c r="M7" s="184"/>
      <c r="N7" s="9"/>
      <c r="O7" s="114"/>
      <c r="P7" s="794" t="s">
        <v>279</v>
      </c>
      <c r="Q7" s="796" t="s">
        <v>33</v>
      </c>
      <c r="R7" s="805" t="s">
        <v>276</v>
      </c>
      <c r="S7" s="9"/>
      <c r="T7" s="798" t="s">
        <v>101</v>
      </c>
      <c r="U7" s="799"/>
      <c r="V7" s="112" t="s">
        <v>82</v>
      </c>
      <c r="W7" s="140" t="s">
        <v>76</v>
      </c>
      <c r="Y7" s="184"/>
      <c r="Z7" s="9"/>
      <c r="AA7" s="9"/>
      <c r="AB7" s="794" t="s">
        <v>279</v>
      </c>
      <c r="AC7" s="796" t="s">
        <v>33</v>
      </c>
      <c r="AD7" s="805" t="s">
        <v>276</v>
      </c>
      <c r="AE7" s="9"/>
      <c r="AF7" s="798" t="s">
        <v>101</v>
      </c>
      <c r="AG7" s="799"/>
      <c r="AH7" s="112" t="s">
        <v>82</v>
      </c>
      <c r="AI7" s="140" t="s">
        <v>76</v>
      </c>
    </row>
    <row r="8" spans="1:35" ht="19.5" customHeight="1" x14ac:dyDescent="0.25">
      <c r="A8" s="184"/>
      <c r="B8" s="9"/>
      <c r="C8" s="114"/>
      <c r="D8" s="795"/>
      <c r="E8" s="797"/>
      <c r="F8" s="805"/>
      <c r="G8" s="9"/>
      <c r="H8" s="102" t="s">
        <v>100</v>
      </c>
      <c r="I8" s="409" t="s">
        <v>130</v>
      </c>
      <c r="J8" s="393" t="str">
        <f>Summary!$H$31</f>
        <v>November</v>
      </c>
      <c r="K8" s="143" t="s">
        <v>131</v>
      </c>
      <c r="L8" s="91"/>
      <c r="M8" s="184"/>
      <c r="N8" s="9"/>
      <c r="O8" s="114"/>
      <c r="P8" s="795"/>
      <c r="Q8" s="797"/>
      <c r="R8" s="805"/>
      <c r="S8" s="9"/>
      <c r="T8" s="102" t="s">
        <v>100</v>
      </c>
      <c r="U8" s="129" t="s">
        <v>130</v>
      </c>
      <c r="V8" s="393" t="str">
        <f>Summary!$H$31</f>
        <v>November</v>
      </c>
      <c r="W8" s="143" t="s">
        <v>131</v>
      </c>
      <c r="Y8" s="184"/>
      <c r="Z8" s="9"/>
      <c r="AA8" s="9"/>
      <c r="AB8" s="795"/>
      <c r="AC8" s="797"/>
      <c r="AD8" s="805"/>
      <c r="AE8" s="9"/>
      <c r="AF8" s="102" t="s">
        <v>100</v>
      </c>
      <c r="AG8" s="129" t="s">
        <v>130</v>
      </c>
      <c r="AH8" s="393" t="str">
        <f>Summary!$H$31</f>
        <v>November</v>
      </c>
      <c r="AI8" s="143" t="s">
        <v>131</v>
      </c>
    </row>
    <row r="9" spans="1:35" x14ac:dyDescent="0.3">
      <c r="A9" s="135"/>
      <c r="B9" s="6"/>
      <c r="C9" s="114"/>
      <c r="D9" s="6"/>
      <c r="E9" s="6"/>
      <c r="F9" s="637"/>
      <c r="G9" s="6"/>
      <c r="H9" s="410"/>
      <c r="I9" s="410"/>
      <c r="J9" s="410"/>
      <c r="K9" s="411"/>
      <c r="M9" s="169"/>
      <c r="N9" s="117"/>
      <c r="O9" s="454"/>
      <c r="P9" s="117"/>
      <c r="Q9" s="117"/>
      <c r="R9" s="645"/>
      <c r="S9" s="117"/>
      <c r="T9" s="172"/>
      <c r="U9" s="172"/>
      <c r="V9" s="172"/>
      <c r="W9" s="173"/>
      <c r="Y9" s="496"/>
      <c r="Z9" s="100"/>
      <c r="AA9" s="117"/>
      <c r="AB9" s="100"/>
      <c r="AC9" s="100"/>
      <c r="AD9" s="100"/>
      <c r="AE9" s="100"/>
      <c r="AF9" s="98"/>
      <c r="AG9" s="98"/>
      <c r="AH9" s="98"/>
      <c r="AI9" s="497"/>
    </row>
    <row r="10" spans="1:35" ht="15.6" x14ac:dyDescent="0.3">
      <c r="A10" s="412" t="s">
        <v>3</v>
      </c>
      <c r="B10" s="413"/>
      <c r="C10" s="453"/>
      <c r="D10" s="413"/>
      <c r="E10" s="414"/>
      <c r="F10" s="638"/>
      <c r="G10" s="413"/>
      <c r="H10" s="410"/>
      <c r="I10" s="410"/>
      <c r="J10" s="414"/>
      <c r="K10" s="411"/>
      <c r="M10" s="478" t="s">
        <v>24</v>
      </c>
      <c r="N10" s="171"/>
      <c r="O10" s="479"/>
      <c r="P10" s="171"/>
      <c r="Q10" s="51"/>
      <c r="R10" s="646"/>
      <c r="S10" s="171"/>
      <c r="T10" s="172"/>
      <c r="U10" s="172"/>
      <c r="V10" s="51"/>
      <c r="W10" s="173"/>
      <c r="Y10" s="436" t="s">
        <v>1</v>
      </c>
      <c r="Z10" s="162"/>
      <c r="AA10" s="171"/>
      <c r="AB10" s="162"/>
      <c r="AC10" s="498"/>
      <c r="AD10" s="499"/>
      <c r="AE10" s="162"/>
      <c r="AF10" s="500"/>
      <c r="AG10" s="500"/>
      <c r="AH10" s="498" t="s">
        <v>137</v>
      </c>
      <c r="AI10" s="501"/>
    </row>
    <row r="11" spans="1:35" ht="16.5" customHeight="1" x14ac:dyDescent="0.3">
      <c r="A11" s="415" t="s">
        <v>79</v>
      </c>
      <c r="B11" s="416"/>
      <c r="C11" s="214">
        <v>4250</v>
      </c>
      <c r="D11" s="694">
        <f t="shared" ref="D11:D12" si="0">E11-H11</f>
        <v>16543</v>
      </c>
      <c r="E11" s="418">
        <v>117516</v>
      </c>
      <c r="F11" s="639">
        <f>+D11/H11</f>
        <v>0.16383587691759183</v>
      </c>
      <c r="G11" s="419"/>
      <c r="H11" s="410">
        <v>100973</v>
      </c>
      <c r="I11" s="151">
        <f>H11/12*Summary!$G$31</f>
        <v>92558.583333333328</v>
      </c>
      <c r="J11" s="420">
        <v>81081.08</v>
      </c>
      <c r="K11" s="153">
        <f t="shared" ref="K11:K12" si="1">I11-J11</f>
        <v>11477.503333333327</v>
      </c>
      <c r="M11" s="437" t="s">
        <v>92</v>
      </c>
      <c r="N11" s="117"/>
      <c r="O11" s="454">
        <v>4500</v>
      </c>
      <c r="P11" s="697">
        <f>Q11-T11</f>
        <v>120</v>
      </c>
      <c r="Q11" s="438">
        <v>1500</v>
      </c>
      <c r="R11" s="639">
        <f>+P11/T11</f>
        <v>8.6956521739130432E-2</v>
      </c>
      <c r="S11" s="175"/>
      <c r="T11" s="62">
        <v>1380</v>
      </c>
      <c r="U11" s="151">
        <f>T11/12*Summary!$G$31</f>
        <v>1265</v>
      </c>
      <c r="V11" s="152">
        <v>0</v>
      </c>
      <c r="W11" s="153">
        <f t="shared" ref="W11:W15" si="2">U11-V11</f>
        <v>1265</v>
      </c>
      <c r="Y11" s="443" t="s">
        <v>64</v>
      </c>
      <c r="Z11" s="163"/>
      <c r="AA11" s="117">
        <v>4750</v>
      </c>
      <c r="AB11" s="200">
        <f>AC11-AF11</f>
        <v>4690</v>
      </c>
      <c r="AC11" s="154">
        <f>50610</f>
        <v>50610</v>
      </c>
      <c r="AD11" s="639">
        <f t="shared" ref="AD11:AD13" si="3">+AB11/AF11</f>
        <v>0.10213414634146341</v>
      </c>
      <c r="AE11" s="163"/>
      <c r="AF11" s="150">
        <v>45920</v>
      </c>
      <c r="AG11" s="151">
        <f>AF11/12*Summary!$G$31</f>
        <v>42093.333333333328</v>
      </c>
      <c r="AH11" s="505">
        <v>45920</v>
      </c>
      <c r="AI11" s="439">
        <f t="shared" ref="AI11:AI13" si="4">AG11-AH11</f>
        <v>-3826.6666666666715</v>
      </c>
    </row>
    <row r="12" spans="1:35" ht="16.5" customHeight="1" x14ac:dyDescent="0.3">
      <c r="A12" s="421" t="s">
        <v>62</v>
      </c>
      <c r="B12" s="416"/>
      <c r="C12" s="214">
        <v>4251</v>
      </c>
      <c r="D12" s="417">
        <f t="shared" si="0"/>
        <v>0</v>
      </c>
      <c r="E12" s="418">
        <v>600</v>
      </c>
      <c r="F12" s="639">
        <f t="shared" ref="F12:F14" si="5">+D12/H12</f>
        <v>0</v>
      </c>
      <c r="G12" s="422"/>
      <c r="H12" s="410">
        <v>600</v>
      </c>
      <c r="I12" s="151">
        <f>H12/12*Summary!$G$31</f>
        <v>550</v>
      </c>
      <c r="J12" s="420">
        <v>291.60000000000002</v>
      </c>
      <c r="K12" s="153">
        <f t="shared" si="1"/>
        <v>258.39999999999998</v>
      </c>
      <c r="M12" s="437" t="s">
        <v>57</v>
      </c>
      <c r="N12" s="117"/>
      <c r="O12" s="454">
        <v>4501</v>
      </c>
      <c r="P12" s="200">
        <f>Q12-T12</f>
        <v>0</v>
      </c>
      <c r="Q12" s="154">
        <v>240</v>
      </c>
      <c r="R12" s="639">
        <f t="shared" ref="R12:R15" si="6">+P12/T12</f>
        <v>0</v>
      </c>
      <c r="S12" s="175"/>
      <c r="T12" s="150">
        <v>240</v>
      </c>
      <c r="U12" s="151">
        <f>T12/12*Summary!$G$31</f>
        <v>220</v>
      </c>
      <c r="V12" s="152">
        <v>200</v>
      </c>
      <c r="W12" s="153">
        <f t="shared" si="2"/>
        <v>20</v>
      </c>
      <c r="Y12" s="443" t="s">
        <v>8</v>
      </c>
      <c r="Z12" s="506" t="s">
        <v>137</v>
      </c>
      <c r="AA12" s="117">
        <v>4751</v>
      </c>
      <c r="AB12" s="200">
        <f>AC12-AF12</f>
        <v>332</v>
      </c>
      <c r="AC12" s="154">
        <v>997</v>
      </c>
      <c r="AD12" s="639">
        <f t="shared" si="3"/>
        <v>0.49924812030075189</v>
      </c>
      <c r="AE12" s="163"/>
      <c r="AF12" s="150">
        <v>665</v>
      </c>
      <c r="AG12" s="151">
        <f>AF12/12*Summary!$G$31</f>
        <v>609.58333333333326</v>
      </c>
      <c r="AH12" s="505">
        <v>664.55</v>
      </c>
      <c r="AI12" s="439">
        <f t="shared" si="4"/>
        <v>-54.966666666666697</v>
      </c>
    </row>
    <row r="13" spans="1:35" ht="16.5" customHeight="1" x14ac:dyDescent="0.3">
      <c r="A13" s="421" t="s">
        <v>31</v>
      </c>
      <c r="B13" s="416"/>
      <c r="C13" s="214">
        <v>4253</v>
      </c>
      <c r="D13" s="417">
        <f>E13-H13</f>
        <v>50</v>
      </c>
      <c r="E13" s="418">
        <v>350</v>
      </c>
      <c r="F13" s="639">
        <f t="shared" si="5"/>
        <v>0.16666666666666666</v>
      </c>
      <c r="G13" s="422"/>
      <c r="H13" s="410">
        <v>300</v>
      </c>
      <c r="I13" s="151">
        <f>H13/12*Summary!$G$31</f>
        <v>275</v>
      </c>
      <c r="J13" s="420">
        <v>0</v>
      </c>
      <c r="K13" s="153">
        <f>I13-J13</f>
        <v>275</v>
      </c>
      <c r="M13" s="437" t="s">
        <v>58</v>
      </c>
      <c r="N13" s="117"/>
      <c r="O13" s="454">
        <v>4502</v>
      </c>
      <c r="P13" s="200">
        <f>Q13-T13</f>
        <v>0</v>
      </c>
      <c r="Q13" s="154">
        <v>240</v>
      </c>
      <c r="R13" s="639">
        <f t="shared" si="6"/>
        <v>0</v>
      </c>
      <c r="S13" s="175"/>
      <c r="T13" s="150">
        <v>240</v>
      </c>
      <c r="U13" s="151">
        <f>T13/12*Summary!$G$31</f>
        <v>220</v>
      </c>
      <c r="V13" s="152">
        <v>120</v>
      </c>
      <c r="W13" s="153">
        <f>U13-V13</f>
        <v>100</v>
      </c>
      <c r="Y13" s="443" t="s">
        <v>55</v>
      </c>
      <c r="Z13" s="506" t="s">
        <v>137</v>
      </c>
      <c r="AA13" s="117">
        <v>4752</v>
      </c>
      <c r="AB13" s="200">
        <f>AC13-AF13</f>
        <v>328</v>
      </c>
      <c r="AC13" s="154">
        <v>1297</v>
      </c>
      <c r="AD13" s="639">
        <f t="shared" si="3"/>
        <v>0.33849329205366357</v>
      </c>
      <c r="AE13" s="163"/>
      <c r="AF13" s="150">
        <v>969</v>
      </c>
      <c r="AG13" s="151">
        <f>AF13/12*Summary!$G$31</f>
        <v>888.25</v>
      </c>
      <c r="AH13" s="505">
        <v>968.8</v>
      </c>
      <c r="AI13" s="439">
        <f t="shared" si="4"/>
        <v>-80.549999999999955</v>
      </c>
    </row>
    <row r="14" spans="1:35" ht="16.5" customHeight="1" x14ac:dyDescent="0.3">
      <c r="A14" s="421" t="s">
        <v>73</v>
      </c>
      <c r="B14" s="416"/>
      <c r="C14" s="214">
        <v>4255</v>
      </c>
      <c r="D14" s="417">
        <f>E14-H14</f>
        <v>0</v>
      </c>
      <c r="E14" s="418">
        <v>30</v>
      </c>
      <c r="F14" s="639">
        <f t="shared" si="5"/>
        <v>0</v>
      </c>
      <c r="G14" s="422"/>
      <c r="H14" s="410">
        <v>30</v>
      </c>
      <c r="I14" s="151">
        <f>H14/12*Summary!$G$31</f>
        <v>27.5</v>
      </c>
      <c r="J14" s="420">
        <v>0</v>
      </c>
      <c r="K14" s="153">
        <f>I14-J14</f>
        <v>27.5</v>
      </c>
      <c r="M14" s="437" t="s">
        <v>87</v>
      </c>
      <c r="N14" s="117"/>
      <c r="O14" s="454">
        <v>4503</v>
      </c>
      <c r="P14" s="697">
        <f>Q14-T14</f>
        <v>48</v>
      </c>
      <c r="Q14" s="154">
        <v>150</v>
      </c>
      <c r="R14" s="639">
        <f t="shared" si="6"/>
        <v>0.47058823529411764</v>
      </c>
      <c r="S14" s="175"/>
      <c r="T14" s="150">
        <v>102</v>
      </c>
      <c r="U14" s="151">
        <f>T14/12*Summary!$G$31</f>
        <v>93.5</v>
      </c>
      <c r="V14" s="152">
        <v>0</v>
      </c>
      <c r="W14" s="153">
        <f t="shared" si="2"/>
        <v>93.5</v>
      </c>
      <c r="Y14" s="443" t="s">
        <v>81</v>
      </c>
      <c r="Z14" s="163"/>
      <c r="AA14" s="117">
        <v>4755</v>
      </c>
      <c r="AB14" s="200">
        <f>AC14-AF14</f>
        <v>0</v>
      </c>
      <c r="AC14" s="502">
        <v>0</v>
      </c>
      <c r="AD14" s="639">
        <v>0</v>
      </c>
      <c r="AE14" s="163"/>
      <c r="AF14" s="504">
        <v>0</v>
      </c>
      <c r="AG14" s="151">
        <f>AF14/12*Summary!$G$31</f>
        <v>0</v>
      </c>
      <c r="AH14" s="505">
        <v>0</v>
      </c>
      <c r="AI14" s="439">
        <f>AG14-AH14</f>
        <v>0</v>
      </c>
    </row>
    <row r="15" spans="1:35" ht="15.75" customHeight="1" x14ac:dyDescent="0.3">
      <c r="A15" s="135"/>
      <c r="B15" s="416"/>
      <c r="C15" s="214"/>
      <c r="D15" s="423"/>
      <c r="E15" s="424"/>
      <c r="F15" s="640"/>
      <c r="G15" s="6"/>
      <c r="H15" s="410"/>
      <c r="I15" s="70"/>
      <c r="J15" s="70"/>
      <c r="K15" s="425"/>
      <c r="M15" s="437" t="s">
        <v>285</v>
      </c>
      <c r="N15" s="117"/>
      <c r="O15" s="454">
        <v>4504</v>
      </c>
      <c r="P15" s="200">
        <f>Q15-T15</f>
        <v>250</v>
      </c>
      <c r="Q15" s="438">
        <v>1750</v>
      </c>
      <c r="R15" s="639">
        <f t="shared" si="6"/>
        <v>0.16666666666666666</v>
      </c>
      <c r="S15" s="175"/>
      <c r="T15" s="172">
        <v>1500</v>
      </c>
      <c r="U15" s="151">
        <f>T15/12*Summary!$G$31</f>
        <v>1375</v>
      </c>
      <c r="V15" s="152">
        <v>1222.02</v>
      </c>
      <c r="W15" s="153">
        <f t="shared" si="2"/>
        <v>152.98000000000002</v>
      </c>
      <c r="Y15" s="443" t="s">
        <v>278</v>
      </c>
      <c r="Z15" s="163"/>
      <c r="AA15" s="117">
        <v>4756</v>
      </c>
      <c r="AB15" s="200">
        <f>AC15-AF15</f>
        <v>0</v>
      </c>
      <c r="AC15" s="502">
        <v>0</v>
      </c>
      <c r="AD15" s="639">
        <v>0</v>
      </c>
      <c r="AE15" s="163"/>
      <c r="AF15" s="504">
        <v>0</v>
      </c>
      <c r="AG15" s="151">
        <f>AF15/12*Summary!$G$31</f>
        <v>0</v>
      </c>
      <c r="AH15" s="505">
        <v>0</v>
      </c>
      <c r="AI15" s="439">
        <f>AG15-AH15</f>
        <v>0</v>
      </c>
    </row>
    <row r="16" spans="1:35" ht="16.2" thickBot="1" x14ac:dyDescent="0.3">
      <c r="A16" s="426" t="s">
        <v>106</v>
      </c>
      <c r="B16" s="467"/>
      <c r="C16" s="467"/>
      <c r="D16" s="72">
        <f>SUM(D10:D15)</f>
        <v>16593</v>
      </c>
      <c r="E16" s="42">
        <f>SUM(E10:E15)</f>
        <v>118496</v>
      </c>
      <c r="F16" s="641">
        <f>+D16/H16</f>
        <v>0.16283131998076603</v>
      </c>
      <c r="G16" s="467"/>
      <c r="H16" s="103">
        <f>SUM(H10:H15)</f>
        <v>101903</v>
      </c>
      <c r="I16" s="73">
        <f>SUM(I10:I15)</f>
        <v>93411.083333333328</v>
      </c>
      <c r="J16" s="73">
        <f>SUM(J10:J15)</f>
        <v>81372.680000000008</v>
      </c>
      <c r="K16" s="427">
        <f>SUM(K10:K15)</f>
        <v>12038.403333333326</v>
      </c>
      <c r="M16" s="135"/>
      <c r="N16" s="6"/>
      <c r="O16" s="126"/>
      <c r="P16" s="6"/>
      <c r="Q16" s="6"/>
      <c r="R16" s="126"/>
      <c r="S16" s="6"/>
      <c r="T16" s="6"/>
      <c r="U16" s="6"/>
      <c r="V16" s="6"/>
      <c r="W16" s="186"/>
      <c r="Y16" s="507"/>
      <c r="Z16" s="506"/>
      <c r="AA16" s="6"/>
      <c r="AB16" s="417"/>
      <c r="AC16" s="471"/>
      <c r="AD16" s="503"/>
      <c r="AE16" s="506"/>
      <c r="AF16" s="504"/>
      <c r="AG16" s="472"/>
      <c r="AH16" s="472"/>
      <c r="AI16" s="439"/>
    </row>
    <row r="17" spans="1:46" ht="16.2" thickBot="1" x14ac:dyDescent="0.35">
      <c r="A17" s="135"/>
      <c r="B17" s="6"/>
      <c r="C17" s="114"/>
      <c r="D17" s="6"/>
      <c r="E17" s="6"/>
      <c r="F17" s="637"/>
      <c r="G17" s="6"/>
      <c r="H17" s="410"/>
      <c r="I17" s="410"/>
      <c r="J17" s="410"/>
      <c r="K17" s="411"/>
      <c r="M17" s="480" t="s">
        <v>112</v>
      </c>
      <c r="N17" s="474"/>
      <c r="O17" s="476"/>
      <c r="P17" s="48">
        <f>SUM(P9:P15)</f>
        <v>418</v>
      </c>
      <c r="Q17" s="49">
        <f>SUM(Q9:Q15)</f>
        <v>3880</v>
      </c>
      <c r="R17" s="641">
        <f>+P17/T17</f>
        <v>0.12073945696129405</v>
      </c>
      <c r="S17" s="476"/>
      <c r="T17" s="111">
        <f>SUM(T9:T15)</f>
        <v>3462</v>
      </c>
      <c r="U17" s="50">
        <f>SUM(U9:U15)</f>
        <v>3173.5</v>
      </c>
      <c r="V17" s="50">
        <f>SUM(V9:V15)</f>
        <v>1542.02</v>
      </c>
      <c r="W17" s="481">
        <f>SUM(W9:W15)</f>
        <v>1631.48</v>
      </c>
      <c r="Y17" s="426" t="s">
        <v>0</v>
      </c>
      <c r="Z17" s="68"/>
      <c r="AA17" s="474"/>
      <c r="AB17" s="27">
        <f>SUM(AB10:AB16)</f>
        <v>5350</v>
      </c>
      <c r="AC17" s="28">
        <f>SUM(AC10:AC16)</f>
        <v>52904</v>
      </c>
      <c r="AD17" s="641">
        <f>+AB17/AF17</f>
        <v>0.11250368002691677</v>
      </c>
      <c r="AE17" s="68"/>
      <c r="AF17" s="108">
        <v>47554</v>
      </c>
      <c r="AG17" s="29">
        <f>SUM(AG10:AG16)</f>
        <v>43591.166666666664</v>
      </c>
      <c r="AH17" s="29">
        <f>SUM(AH10:AH16)</f>
        <v>47553.350000000006</v>
      </c>
      <c r="AI17" s="508">
        <f>SUM(AI10:AI16)</f>
        <v>-3962.1833333333379</v>
      </c>
    </row>
    <row r="18" spans="1:46" x14ac:dyDescent="0.25">
      <c r="A18" s="429" t="s">
        <v>28</v>
      </c>
      <c r="B18" s="416"/>
      <c r="C18" s="214"/>
      <c r="D18" s="423"/>
      <c r="E18" s="424"/>
      <c r="F18" s="640"/>
      <c r="G18" s="146"/>
      <c r="H18" s="410"/>
      <c r="I18" s="70"/>
      <c r="J18" s="70"/>
      <c r="K18" s="425"/>
      <c r="M18" s="482"/>
      <c r="N18" s="483"/>
      <c r="O18" s="483"/>
      <c r="P18" s="699"/>
      <c r="Q18" s="483"/>
      <c r="R18" s="648"/>
      <c r="S18" s="483"/>
      <c r="T18" s="483"/>
      <c r="U18" s="483"/>
      <c r="V18" s="699"/>
      <c r="W18" s="700"/>
      <c r="X18"/>
    </row>
    <row r="19" spans="1:46" ht="15.6" x14ac:dyDescent="0.3">
      <c r="A19" s="430" t="s">
        <v>10</v>
      </c>
      <c r="B19" s="416" t="s">
        <v>137</v>
      </c>
      <c r="C19" s="214">
        <v>4001</v>
      </c>
      <c r="D19" s="417">
        <f t="shared" ref="D19:D27" si="7">E19-H19</f>
        <v>0</v>
      </c>
      <c r="E19" s="154">
        <v>1000</v>
      </c>
      <c r="F19" s="639">
        <f t="shared" ref="F19:F27" si="8">+D19/H19</f>
        <v>0</v>
      </c>
      <c r="G19" s="66"/>
      <c r="H19" s="410">
        <v>1000</v>
      </c>
      <c r="I19" s="151">
        <f>H19/12*Summary!$G$31</f>
        <v>916.66666666666663</v>
      </c>
      <c r="J19" s="420">
        <v>943.62</v>
      </c>
      <c r="K19" s="153">
        <f t="shared" ref="K19:K25" si="9">I19-J19</f>
        <v>-26.953333333333376</v>
      </c>
      <c r="M19" s="436" t="s">
        <v>25</v>
      </c>
      <c r="N19" s="117"/>
      <c r="O19" s="454"/>
      <c r="P19" s="51"/>
      <c r="Q19" s="485"/>
      <c r="R19" s="647"/>
      <c r="S19" s="163"/>
      <c r="T19" s="172"/>
      <c r="U19" s="52"/>
      <c r="V19" s="52"/>
      <c r="W19" s="178"/>
      <c r="X19"/>
      <c r="Y19"/>
      <c r="Z19"/>
      <c r="AA19"/>
      <c r="AB19"/>
      <c r="AC19"/>
      <c r="AD19"/>
      <c r="AE19"/>
      <c r="AF19"/>
      <c r="AG19"/>
      <c r="AH19"/>
      <c r="AI19"/>
    </row>
    <row r="20" spans="1:46" ht="15.6" x14ac:dyDescent="0.3">
      <c r="A20" s="430" t="s">
        <v>60</v>
      </c>
      <c r="B20" s="416" t="s">
        <v>137</v>
      </c>
      <c r="C20" s="214">
        <v>4002</v>
      </c>
      <c r="D20" s="417">
        <f t="shared" si="7"/>
        <v>500</v>
      </c>
      <c r="E20" s="154">
        <v>1600</v>
      </c>
      <c r="F20" s="639">
        <f t="shared" si="8"/>
        <v>0.45454545454545453</v>
      </c>
      <c r="G20" s="66"/>
      <c r="H20" s="410">
        <v>1100</v>
      </c>
      <c r="I20" s="151">
        <f>H20/12*Summary!$G$31</f>
        <v>1008.3333333333334</v>
      </c>
      <c r="J20" s="420">
        <v>1592.52</v>
      </c>
      <c r="K20" s="153">
        <f t="shared" si="9"/>
        <v>-584.18666666666661</v>
      </c>
      <c r="M20" s="430" t="s">
        <v>34</v>
      </c>
      <c r="N20" s="117"/>
      <c r="O20" s="454">
        <v>4510</v>
      </c>
      <c r="P20" s="200">
        <f t="shared" ref="P20:P26" si="10">Q20-T20</f>
        <v>0</v>
      </c>
      <c r="Q20" s="438">
        <v>2750</v>
      </c>
      <c r="R20" s="639">
        <f>+P20/T20</f>
        <v>0</v>
      </c>
      <c r="S20" s="431"/>
      <c r="T20" s="172">
        <v>2750</v>
      </c>
      <c r="U20" s="151">
        <f>T20/12*Summary!$G$31</f>
        <v>2520.833333333333</v>
      </c>
      <c r="V20" s="152">
        <v>2993.08</v>
      </c>
      <c r="W20" s="153">
        <f t="shared" ref="W20:W26" si="11">U20-V20</f>
        <v>-472.2466666666669</v>
      </c>
      <c r="Y20"/>
      <c r="Z20"/>
      <c r="AA20"/>
      <c r="AB20"/>
      <c r="AC20"/>
      <c r="AD20"/>
      <c r="AE20"/>
      <c r="AF20"/>
      <c r="AG20"/>
      <c r="AH20"/>
      <c r="AI20"/>
    </row>
    <row r="21" spans="1:46" ht="15.6" x14ac:dyDescent="0.3">
      <c r="A21" s="430" t="s">
        <v>91</v>
      </c>
      <c r="B21" s="416" t="s">
        <v>137</v>
      </c>
      <c r="C21" s="214">
        <v>4003</v>
      </c>
      <c r="D21" s="690">
        <f t="shared" si="7"/>
        <v>-4312</v>
      </c>
      <c r="E21" s="154">
        <v>18358</v>
      </c>
      <c r="F21" s="639">
        <f t="shared" si="8"/>
        <v>-0.19020732245258051</v>
      </c>
      <c r="G21" s="66"/>
      <c r="H21" s="410">
        <v>22670</v>
      </c>
      <c r="I21" s="151">
        <f>H21/12*Summary!$G$31</f>
        <v>20780.833333333336</v>
      </c>
      <c r="J21" s="420">
        <v>15773.64</v>
      </c>
      <c r="K21" s="153">
        <f t="shared" si="9"/>
        <v>5007.1933333333363</v>
      </c>
      <c r="M21" s="486" t="s">
        <v>35</v>
      </c>
      <c r="N21" s="117"/>
      <c r="O21" s="454">
        <v>4511</v>
      </c>
      <c r="P21" s="417">
        <f t="shared" si="10"/>
        <v>0</v>
      </c>
      <c r="Q21" s="438">
        <v>600</v>
      </c>
      <c r="R21" s="639">
        <f t="shared" ref="R21:R26" si="12">+P21/T21</f>
        <v>0</v>
      </c>
      <c r="S21" s="52"/>
      <c r="T21" s="172">
        <v>600</v>
      </c>
      <c r="U21" s="151">
        <f>T21/12*Summary!$G$31</f>
        <v>550</v>
      </c>
      <c r="V21" s="152">
        <v>948.49</v>
      </c>
      <c r="W21" s="153">
        <f t="shared" si="11"/>
        <v>-398.49</v>
      </c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5.6" x14ac:dyDescent="0.3">
      <c r="A22" s="430" t="s">
        <v>9</v>
      </c>
      <c r="B22" s="416"/>
      <c r="C22" s="214">
        <v>4004</v>
      </c>
      <c r="D22" s="417">
        <f t="shared" si="7"/>
        <v>0</v>
      </c>
      <c r="E22" s="418">
        <v>0</v>
      </c>
      <c r="F22" s="639">
        <v>0</v>
      </c>
      <c r="G22" s="431"/>
      <c r="H22" s="410">
        <v>0</v>
      </c>
      <c r="I22" s="151">
        <f>H22/12*Summary!$G$31</f>
        <v>0</v>
      </c>
      <c r="J22" s="420">
        <v>0</v>
      </c>
      <c r="K22" s="153">
        <f t="shared" si="9"/>
        <v>0</v>
      </c>
      <c r="M22" s="437" t="s">
        <v>59</v>
      </c>
      <c r="N22" s="117" t="s">
        <v>137</v>
      </c>
      <c r="O22" s="454">
        <v>4512</v>
      </c>
      <c r="P22" s="417">
        <f t="shared" si="10"/>
        <v>0</v>
      </c>
      <c r="Q22" s="154">
        <v>100</v>
      </c>
      <c r="R22" s="639">
        <f t="shared" si="12"/>
        <v>0</v>
      </c>
      <c r="S22" s="175"/>
      <c r="T22" s="150">
        <v>100</v>
      </c>
      <c r="U22" s="151">
        <f>T22/12*Summary!$G$31</f>
        <v>91.666666666666671</v>
      </c>
      <c r="V22" s="152">
        <v>0</v>
      </c>
      <c r="W22" s="153">
        <f t="shared" si="11"/>
        <v>91.666666666666671</v>
      </c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5.6" x14ac:dyDescent="0.3">
      <c r="A23" s="432" t="s">
        <v>2</v>
      </c>
      <c r="B23" s="416"/>
      <c r="C23" s="214">
        <v>4005</v>
      </c>
      <c r="D23" s="417">
        <f t="shared" si="7"/>
        <v>-324</v>
      </c>
      <c r="E23" s="418">
        <v>0</v>
      </c>
      <c r="F23" s="639">
        <f t="shared" si="8"/>
        <v>-1</v>
      </c>
      <c r="G23" s="433"/>
      <c r="H23" s="410">
        <v>324</v>
      </c>
      <c r="I23" s="151">
        <f>H23/12*Summary!$G$31</f>
        <v>297</v>
      </c>
      <c r="J23" s="420">
        <v>0</v>
      </c>
      <c r="K23" s="153">
        <f t="shared" si="9"/>
        <v>297</v>
      </c>
      <c r="M23" s="437" t="s">
        <v>37</v>
      </c>
      <c r="N23" s="117"/>
      <c r="O23" s="454">
        <v>4513</v>
      </c>
      <c r="P23" s="417">
        <f t="shared" si="10"/>
        <v>300</v>
      </c>
      <c r="Q23" s="438">
        <v>500</v>
      </c>
      <c r="R23" s="639">
        <f t="shared" si="12"/>
        <v>1.5</v>
      </c>
      <c r="S23" s="175"/>
      <c r="T23" s="172">
        <v>200</v>
      </c>
      <c r="U23" s="151">
        <f>T23/12*Summary!$G$31</f>
        <v>183.33333333333334</v>
      </c>
      <c r="V23" s="152">
        <v>1267.3399999999999</v>
      </c>
      <c r="W23" s="153">
        <f t="shared" si="11"/>
        <v>-1084.0066666666667</v>
      </c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5.6" x14ac:dyDescent="0.3">
      <c r="A24" s="432" t="s">
        <v>30</v>
      </c>
      <c r="B24" s="416" t="s">
        <v>137</v>
      </c>
      <c r="C24" s="214">
        <v>4006</v>
      </c>
      <c r="D24" s="417">
        <f t="shared" si="7"/>
        <v>0</v>
      </c>
      <c r="E24" s="154">
        <v>100</v>
      </c>
      <c r="F24" s="639">
        <f t="shared" si="8"/>
        <v>0</v>
      </c>
      <c r="G24" s="433"/>
      <c r="H24" s="410">
        <v>100</v>
      </c>
      <c r="I24" s="151">
        <f>H24/12*Summary!$G$31</f>
        <v>91.666666666666671</v>
      </c>
      <c r="J24" s="420">
        <v>49.21</v>
      </c>
      <c r="K24" s="153">
        <f t="shared" si="9"/>
        <v>42.456666666666671</v>
      </c>
      <c r="M24" s="437" t="s">
        <v>38</v>
      </c>
      <c r="N24" s="117"/>
      <c r="O24" s="454">
        <v>4514</v>
      </c>
      <c r="P24" s="417">
        <f t="shared" si="10"/>
        <v>-750</v>
      </c>
      <c r="Q24" s="438">
        <v>750</v>
      </c>
      <c r="R24" s="639">
        <f t="shared" si="12"/>
        <v>-0.5</v>
      </c>
      <c r="S24" s="175"/>
      <c r="T24" s="172">
        <v>1500</v>
      </c>
      <c r="U24" s="151">
        <f>T24/12*Summary!$G$31</f>
        <v>1375</v>
      </c>
      <c r="V24" s="152">
        <v>267</v>
      </c>
      <c r="W24" s="153">
        <f t="shared" si="11"/>
        <v>1108</v>
      </c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5.6" x14ac:dyDescent="0.3">
      <c r="A25" s="432" t="s">
        <v>83</v>
      </c>
      <c r="B25" s="416" t="s">
        <v>137</v>
      </c>
      <c r="C25" s="214">
        <v>4007</v>
      </c>
      <c r="D25" s="417">
        <f t="shared" si="7"/>
        <v>0</v>
      </c>
      <c r="E25" s="154">
        <v>358</v>
      </c>
      <c r="F25" s="639">
        <f t="shared" si="8"/>
        <v>0</v>
      </c>
      <c r="G25" s="433"/>
      <c r="H25" s="410">
        <v>358</v>
      </c>
      <c r="I25" s="151">
        <f>H25/12*Summary!$G$31</f>
        <v>328.16666666666663</v>
      </c>
      <c r="J25" s="420">
        <v>0</v>
      </c>
      <c r="K25" s="153">
        <f t="shared" si="9"/>
        <v>328.16666666666663</v>
      </c>
      <c r="M25" s="437" t="s">
        <v>5</v>
      </c>
      <c r="N25" s="117"/>
      <c r="O25" s="454">
        <v>4515</v>
      </c>
      <c r="P25" s="417">
        <f t="shared" si="10"/>
        <v>0</v>
      </c>
      <c r="Q25" s="438">
        <v>3000</v>
      </c>
      <c r="R25" s="639">
        <f t="shared" si="12"/>
        <v>0</v>
      </c>
      <c r="S25" s="175"/>
      <c r="T25" s="172">
        <v>3000</v>
      </c>
      <c r="U25" s="151">
        <f>T25/12*Summary!$G$31</f>
        <v>2750</v>
      </c>
      <c r="V25" s="152">
        <v>2305.3000000000002</v>
      </c>
      <c r="W25" s="153">
        <f t="shared" si="11"/>
        <v>444.69999999999982</v>
      </c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5.6" x14ac:dyDescent="0.3">
      <c r="A26" s="572" t="s">
        <v>127</v>
      </c>
      <c r="B26" s="416" t="s">
        <v>137</v>
      </c>
      <c r="C26" s="214">
        <v>4008</v>
      </c>
      <c r="D26" s="417">
        <f t="shared" si="7"/>
        <v>0</v>
      </c>
      <c r="E26" s="154">
        <v>50.25</v>
      </c>
      <c r="F26" s="639">
        <f t="shared" si="8"/>
        <v>0</v>
      </c>
      <c r="G26" s="435"/>
      <c r="H26" s="410">
        <v>50.25</v>
      </c>
      <c r="I26" s="151">
        <f>H26/12*Summary!$G$31</f>
        <v>46.0625</v>
      </c>
      <c r="J26" s="420">
        <v>0</v>
      </c>
      <c r="K26" s="153">
        <f t="shared" ref="K26:K27" si="13">I26-J26</f>
        <v>46.0625</v>
      </c>
      <c r="M26" s="487" t="s">
        <v>126</v>
      </c>
      <c r="N26" s="117"/>
      <c r="O26" s="454">
        <v>4516</v>
      </c>
      <c r="P26" s="417">
        <f t="shared" si="10"/>
        <v>0</v>
      </c>
      <c r="Q26" s="438">
        <v>400</v>
      </c>
      <c r="R26" s="639">
        <f t="shared" si="12"/>
        <v>0</v>
      </c>
      <c r="S26" s="488"/>
      <c r="T26" s="172">
        <v>400</v>
      </c>
      <c r="U26" s="151">
        <f>T26/12*Summary!$G$31</f>
        <v>366.66666666666669</v>
      </c>
      <c r="V26" s="152">
        <v>144</v>
      </c>
      <c r="W26" s="153">
        <f t="shared" si="11"/>
        <v>222.66666666666669</v>
      </c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5.6" x14ac:dyDescent="0.25">
      <c r="A27" s="434" t="s">
        <v>152</v>
      </c>
      <c r="B27" s="416" t="s">
        <v>137</v>
      </c>
      <c r="C27" s="214">
        <v>4009</v>
      </c>
      <c r="D27" s="690">
        <f t="shared" si="7"/>
        <v>-1150</v>
      </c>
      <c r="E27" s="154">
        <v>410</v>
      </c>
      <c r="F27" s="639">
        <f t="shared" si="8"/>
        <v>-0.73717948717948723</v>
      </c>
      <c r="G27" s="435"/>
      <c r="H27" s="410">
        <v>1560</v>
      </c>
      <c r="I27" s="151">
        <f>H27/12*Summary!$G$31</f>
        <v>1430</v>
      </c>
      <c r="J27" s="420">
        <v>410</v>
      </c>
      <c r="K27" s="153">
        <f t="shared" si="13"/>
        <v>1020</v>
      </c>
      <c r="M27" s="135"/>
      <c r="N27" s="6"/>
      <c r="O27" s="126"/>
      <c r="P27" s="6"/>
      <c r="Q27" s="6"/>
      <c r="R27" s="126"/>
      <c r="S27" s="6"/>
      <c r="T27" s="6"/>
      <c r="U27" s="6"/>
      <c r="V27" s="6"/>
      <c r="W27" s="186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5" thickBot="1" x14ac:dyDescent="0.35">
      <c r="A28" s="432"/>
      <c r="B28" s="416"/>
      <c r="C28" s="214"/>
      <c r="D28" s="6"/>
      <c r="E28" s="6"/>
      <c r="F28" s="637"/>
      <c r="G28" s="433"/>
      <c r="H28" s="410"/>
      <c r="I28" s="410"/>
      <c r="J28" s="410"/>
      <c r="K28" s="411"/>
      <c r="M28" s="480" t="s">
        <v>113</v>
      </c>
      <c r="N28" s="474"/>
      <c r="O28" s="476"/>
      <c r="P28" s="48">
        <f>SUM(P20:P26)</f>
        <v>-450</v>
      </c>
      <c r="Q28" s="49">
        <f>SUM(Q20:Q27)</f>
        <v>8100</v>
      </c>
      <c r="R28" s="641">
        <f>+P28/T28</f>
        <v>-5.2631578947368418E-2</v>
      </c>
      <c r="S28" s="476"/>
      <c r="T28" s="111">
        <f>SUM(T20:T27)</f>
        <v>8550</v>
      </c>
      <c r="U28" s="50">
        <f>SUM(U20:U27)</f>
        <v>7837.5</v>
      </c>
      <c r="V28" s="50">
        <f>SUM(V20:V26)</f>
        <v>7925.21</v>
      </c>
      <c r="W28" s="481">
        <f>SUM(W20:W26)</f>
        <v>-87.710000000000321</v>
      </c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5" thickBot="1" x14ac:dyDescent="0.3">
      <c r="A29" s="426" t="s">
        <v>111</v>
      </c>
      <c r="B29" s="466"/>
      <c r="C29" s="467"/>
      <c r="D29" s="72">
        <f>SUM(D19:D28)</f>
        <v>-5286</v>
      </c>
      <c r="E29" s="42">
        <f>SUM(E19:E28)</f>
        <v>21876.25</v>
      </c>
      <c r="F29" s="641">
        <f>+D29/H29</f>
        <v>-0.19460832589347349</v>
      </c>
      <c r="G29" s="467"/>
      <c r="H29" s="103">
        <f>SUM(H19:H28)</f>
        <v>27162.25</v>
      </c>
      <c r="I29" s="73">
        <f>SUM(I19:I27)</f>
        <v>24898.729166666672</v>
      </c>
      <c r="J29" s="73">
        <f>SUM(J19:J27)</f>
        <v>18768.989999999998</v>
      </c>
      <c r="K29" s="427">
        <f>SUM(K19:K27)</f>
        <v>6129.7391666666699</v>
      </c>
      <c r="M29" s="135"/>
      <c r="N29" s="6"/>
      <c r="O29" s="126"/>
      <c r="P29" s="6"/>
      <c r="Q29" s="6"/>
      <c r="R29" s="126"/>
      <c r="S29" s="6"/>
      <c r="T29" s="6"/>
      <c r="U29" s="6"/>
      <c r="V29" s="6"/>
      <c r="W29" s="186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x14ac:dyDescent="0.3">
      <c r="A30" s="428"/>
      <c r="B30" s="416"/>
      <c r="C30" s="214"/>
      <c r="D30" s="423"/>
      <c r="E30" s="424"/>
      <c r="F30" s="640"/>
      <c r="G30" s="74"/>
      <c r="H30" s="410"/>
      <c r="I30" s="70"/>
      <c r="J30" s="70"/>
      <c r="K30" s="425"/>
      <c r="M30" s="436" t="s">
        <v>65</v>
      </c>
      <c r="N30" s="117"/>
      <c r="O30" s="454"/>
      <c r="P30" s="51"/>
      <c r="Q30" s="485"/>
      <c r="R30" s="647"/>
      <c r="S30" s="163"/>
      <c r="T30" s="172"/>
      <c r="U30" s="52"/>
      <c r="V30" s="52"/>
      <c r="W30" s="178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x14ac:dyDescent="0.3">
      <c r="A31" s="429" t="s">
        <v>54</v>
      </c>
      <c r="B31" s="416"/>
      <c r="C31" s="214"/>
      <c r="D31" s="423"/>
      <c r="E31" s="424"/>
      <c r="F31" s="640"/>
      <c r="G31" s="146"/>
      <c r="H31" s="410"/>
      <c r="I31" s="70"/>
      <c r="J31" s="70"/>
      <c r="K31" s="425"/>
      <c r="M31" s="430" t="s">
        <v>26</v>
      </c>
      <c r="N31" s="117"/>
      <c r="O31" s="454">
        <v>4540</v>
      </c>
      <c r="P31" s="200">
        <f>Q31-T31</f>
        <v>11000</v>
      </c>
      <c r="Q31" s="438">
        <v>33000</v>
      </c>
      <c r="R31" s="639">
        <f t="shared" ref="R31:R33" si="14">+P31/T31</f>
        <v>0.5</v>
      </c>
      <c r="S31" s="431"/>
      <c r="T31" s="172">
        <v>22000</v>
      </c>
      <c r="U31" s="151">
        <f>T31/12*Summary!$G$31</f>
        <v>20166.666666666664</v>
      </c>
      <c r="V31" s="152">
        <v>17553.310000000001</v>
      </c>
      <c r="W31" s="153">
        <f t="shared" ref="W31:W33" si="15">U31-V31</f>
        <v>2613.3566666666629</v>
      </c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5.6" x14ac:dyDescent="0.3">
      <c r="A32" s="430" t="s">
        <v>53</v>
      </c>
      <c r="B32" s="416" t="s">
        <v>137</v>
      </c>
      <c r="C32" s="214">
        <v>4020</v>
      </c>
      <c r="D32" s="417">
        <f>E32-H32</f>
        <v>0</v>
      </c>
      <c r="E32" s="154">
        <v>1300</v>
      </c>
      <c r="F32" s="639">
        <f t="shared" ref="F32:F34" si="16">+D32/H32</f>
        <v>0</v>
      </c>
      <c r="G32" s="66"/>
      <c r="H32" s="410">
        <v>1300</v>
      </c>
      <c r="I32" s="151">
        <f>H32/12*Summary!$G$31</f>
        <v>1191.6666666666665</v>
      </c>
      <c r="J32" s="420">
        <v>867.38</v>
      </c>
      <c r="K32" s="153">
        <f t="shared" ref="K32:K35" si="17">I32-J32</f>
        <v>324.28666666666652</v>
      </c>
      <c r="M32" s="486" t="s">
        <v>6</v>
      </c>
      <c r="N32" s="117"/>
      <c r="O32" s="454">
        <v>4541</v>
      </c>
      <c r="P32" s="200">
        <f>Q32-T32</f>
        <v>250</v>
      </c>
      <c r="Q32" s="438">
        <v>11050</v>
      </c>
      <c r="R32" s="639">
        <f t="shared" si="14"/>
        <v>2.3148148148148147E-2</v>
      </c>
      <c r="S32" s="52"/>
      <c r="T32" s="172">
        <v>10800</v>
      </c>
      <c r="U32" s="151">
        <f>T32/12*Summary!$G$31</f>
        <v>9900</v>
      </c>
      <c r="V32" s="152">
        <v>8385.75</v>
      </c>
      <c r="W32" s="153">
        <f t="shared" si="15"/>
        <v>1514.25</v>
      </c>
      <c r="Y32" s="9" t="s">
        <v>356</v>
      </c>
      <c r="Z32" s="9"/>
      <c r="AA32" s="9"/>
      <c r="AB32" s="729"/>
      <c r="AC32" s="114">
        <v>2022</v>
      </c>
      <c r="AD32" s="90"/>
      <c r="AE32" s="80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15.6" x14ac:dyDescent="0.3">
      <c r="A33" s="430" t="s">
        <v>66</v>
      </c>
      <c r="B33" s="416" t="s">
        <v>137</v>
      </c>
      <c r="C33" s="214">
        <v>4021</v>
      </c>
      <c r="D33" s="694">
        <f>E33-H33</f>
        <v>250</v>
      </c>
      <c r="E33" s="154">
        <v>1750</v>
      </c>
      <c r="F33" s="639">
        <f t="shared" si="16"/>
        <v>0.16666666666666666</v>
      </c>
      <c r="G33" s="66"/>
      <c r="H33" s="410">
        <v>1500</v>
      </c>
      <c r="I33" s="151">
        <f>H33/12*Summary!$G$31</f>
        <v>1375</v>
      </c>
      <c r="J33" s="420">
        <v>1099.82</v>
      </c>
      <c r="K33" s="153">
        <f t="shared" si="17"/>
        <v>275.18000000000006</v>
      </c>
      <c r="M33" s="437" t="s">
        <v>93</v>
      </c>
      <c r="N33" s="117"/>
      <c r="O33" s="454">
        <v>4542</v>
      </c>
      <c r="P33" s="320">
        <f>Q33-T33</f>
        <v>500</v>
      </c>
      <c r="Q33" s="438">
        <v>2500</v>
      </c>
      <c r="R33" s="639">
        <f t="shared" si="14"/>
        <v>0.25</v>
      </c>
      <c r="S33" s="175"/>
      <c r="T33" s="172">
        <v>2000</v>
      </c>
      <c r="U33" s="151">
        <f>T33/12*Summary!$G$31</f>
        <v>1833.3333333333333</v>
      </c>
      <c r="V33" s="152">
        <v>2514.48</v>
      </c>
      <c r="W33" s="153">
        <f t="shared" si="15"/>
        <v>-681.14666666666676</v>
      </c>
      <c r="Y33" s="6" t="s">
        <v>358</v>
      </c>
      <c r="Z33" s="6"/>
      <c r="AA33" s="6"/>
      <c r="AB33" s="734">
        <v>23</v>
      </c>
      <c r="AC33" s="730">
        <f>+AC35*AB33%</f>
        <v>229.31</v>
      </c>
      <c r="AD33" s="69" t="s">
        <v>137</v>
      </c>
      <c r="AE33" s="80"/>
      <c r="AF33" t="s">
        <v>357</v>
      </c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15.6" x14ac:dyDescent="0.3">
      <c r="A34" s="430" t="s">
        <v>32</v>
      </c>
      <c r="B34" s="416" t="s">
        <v>137</v>
      </c>
      <c r="C34" s="214">
        <v>4022</v>
      </c>
      <c r="D34" s="417">
        <f>E34-H34</f>
        <v>0</v>
      </c>
      <c r="E34" s="154">
        <v>1000</v>
      </c>
      <c r="F34" s="639">
        <f t="shared" si="16"/>
        <v>0</v>
      </c>
      <c r="G34" s="66"/>
      <c r="H34" s="410">
        <v>1000</v>
      </c>
      <c r="I34" s="151">
        <f>H34/12*Summary!$G$31</f>
        <v>916.66666666666663</v>
      </c>
      <c r="J34" s="420">
        <v>897.1</v>
      </c>
      <c r="K34" s="153">
        <f t="shared" si="17"/>
        <v>19.566666666666606</v>
      </c>
      <c r="M34" s="437"/>
      <c r="N34" s="117"/>
      <c r="O34" s="454"/>
      <c r="P34" s="200"/>
      <c r="Q34" s="485"/>
      <c r="R34" s="647"/>
      <c r="S34" s="175"/>
      <c r="T34" s="172"/>
      <c r="U34" s="472"/>
      <c r="V34" s="472"/>
      <c r="W34" s="153"/>
      <c r="Y34" s="6" t="s">
        <v>359</v>
      </c>
      <c r="Z34" s="6"/>
      <c r="AA34" s="6"/>
      <c r="AB34" s="734">
        <v>77</v>
      </c>
      <c r="AC34" s="730">
        <f>+AC35*AB34%</f>
        <v>767.69</v>
      </c>
      <c r="AD34" s="69"/>
      <c r="AE34" s="80"/>
      <c r="AF34" t="s">
        <v>357</v>
      </c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5" thickBot="1" x14ac:dyDescent="0.35">
      <c r="A35" s="465" t="s">
        <v>150</v>
      </c>
      <c r="B35" s="460" t="s">
        <v>137</v>
      </c>
      <c r="C35" s="461">
        <v>4023</v>
      </c>
      <c r="D35" s="462"/>
      <c r="E35" s="418"/>
      <c r="F35" s="642"/>
      <c r="G35" s="463"/>
      <c r="H35" s="410">
        <f t="shared" ref="H35" si="18">+E35</f>
        <v>0</v>
      </c>
      <c r="I35" s="464">
        <v>0</v>
      </c>
      <c r="J35" s="420">
        <v>569.80999999999995</v>
      </c>
      <c r="K35" s="153">
        <f t="shared" si="17"/>
        <v>-569.80999999999995</v>
      </c>
      <c r="M35" s="480" t="s">
        <v>114</v>
      </c>
      <c r="N35" s="474"/>
      <c r="O35" s="476"/>
      <c r="P35" s="48">
        <f t="shared" ref="P35:Q35" si="19">SUM(P30:P34)</f>
        <v>11750</v>
      </c>
      <c r="Q35" s="49">
        <f t="shared" si="19"/>
        <v>46550</v>
      </c>
      <c r="R35" s="641">
        <f>+P35/T35</f>
        <v>0.33764367816091956</v>
      </c>
      <c r="S35" s="476"/>
      <c r="T35" s="111">
        <f t="shared" ref="T35:W35" si="20">SUM(T30:T34)</f>
        <v>34800</v>
      </c>
      <c r="U35" s="50">
        <f t="shared" si="20"/>
        <v>31899.999999999996</v>
      </c>
      <c r="V35" s="50">
        <f t="shared" si="20"/>
        <v>28453.54</v>
      </c>
      <c r="W35" s="481">
        <f t="shared" si="20"/>
        <v>3446.4599999999964</v>
      </c>
      <c r="Y35" s="9" t="s">
        <v>254</v>
      </c>
      <c r="Z35" s="9"/>
      <c r="AA35" s="9"/>
      <c r="AB35" s="731">
        <f>SUM(AB33:AB34)</f>
        <v>100</v>
      </c>
      <c r="AC35" s="732">
        <v>997</v>
      </c>
      <c r="AD35" s="735">
        <f>SUM(AC33:AC34)</f>
        <v>997</v>
      </c>
      <c r="AE35" s="77"/>
      <c r="AF35" s="736" t="s">
        <v>253</v>
      </c>
      <c r="AG35" s="733"/>
      <c r="AH35" s="733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5" thickBot="1" x14ac:dyDescent="0.3">
      <c r="A36" s="426" t="s">
        <v>109</v>
      </c>
      <c r="B36" s="466"/>
      <c r="C36" s="467"/>
      <c r="D36" s="72">
        <f>SUM(D31:D35)</f>
        <v>250</v>
      </c>
      <c r="E36" s="42">
        <f>SUM(E31:E35)</f>
        <v>4050</v>
      </c>
      <c r="F36" s="641">
        <f>+D36/H36</f>
        <v>6.5789473684210523E-2</v>
      </c>
      <c r="G36" s="467"/>
      <c r="H36" s="103">
        <f>SUM(H31:H35)</f>
        <v>3800</v>
      </c>
      <c r="I36" s="73">
        <f>SUM(I31:I35)</f>
        <v>3483.333333333333</v>
      </c>
      <c r="J36" s="73">
        <f>SUM(J31:J35)</f>
        <v>3434.1099999999997</v>
      </c>
      <c r="K36" s="427">
        <f>SUM(K31:K35)</f>
        <v>49.223333333333244</v>
      </c>
      <c r="M36" s="135"/>
      <c r="N36" s="6"/>
      <c r="O36" s="126"/>
      <c r="P36" s="6"/>
      <c r="Q36" s="6"/>
      <c r="R36" s="126"/>
      <c r="S36" s="6"/>
      <c r="T36" s="6"/>
      <c r="U36" s="6"/>
      <c r="V36" s="6"/>
      <c r="W36" s="186"/>
      <c r="AG36" s="80"/>
      <c r="AH36" s="80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x14ac:dyDescent="0.3">
      <c r="A37" s="428"/>
      <c r="B37" s="416"/>
      <c r="C37" s="214"/>
      <c r="D37" s="423"/>
      <c r="E37" s="424"/>
      <c r="F37" s="640"/>
      <c r="G37" s="74"/>
      <c r="H37" s="410"/>
      <c r="I37" s="70"/>
      <c r="J37" s="70"/>
      <c r="K37" s="425"/>
      <c r="M37" s="436" t="s">
        <v>4</v>
      </c>
      <c r="N37" s="117"/>
      <c r="O37" s="454"/>
      <c r="P37" s="51"/>
      <c r="Q37" s="485"/>
      <c r="R37" s="647"/>
      <c r="S37" s="162"/>
      <c r="T37" s="172"/>
      <c r="U37" s="52"/>
      <c r="V37" s="52"/>
      <c r="W37" s="178"/>
      <c r="AG37" s="80"/>
      <c r="AH37" s="80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x14ac:dyDescent="0.3">
      <c r="A38" s="436" t="s">
        <v>29</v>
      </c>
      <c r="B38" s="6"/>
      <c r="C38" s="114"/>
      <c r="D38" s="423"/>
      <c r="E38" s="424"/>
      <c r="F38" s="640"/>
      <c r="G38" s="162"/>
      <c r="H38" s="410"/>
      <c r="I38" s="70"/>
      <c r="J38" s="70"/>
      <c r="K38" s="425"/>
      <c r="M38" s="443" t="s">
        <v>36</v>
      </c>
      <c r="N38" s="117"/>
      <c r="O38" s="454">
        <v>4530</v>
      </c>
      <c r="P38" s="200">
        <f t="shared" ref="P38:P44" si="21">Q38-T38</f>
        <v>0</v>
      </c>
      <c r="Q38" s="438">
        <v>1200</v>
      </c>
      <c r="R38" s="639">
        <f t="shared" ref="R38:R43" si="22">+P38/T38</f>
        <v>0</v>
      </c>
      <c r="S38" s="163"/>
      <c r="T38" s="172">
        <v>1200</v>
      </c>
      <c r="U38" s="151">
        <f>T38/12*Summary!$G$31</f>
        <v>1100</v>
      </c>
      <c r="V38" s="152">
        <v>1004.98</v>
      </c>
      <c r="W38" s="153">
        <f t="shared" ref="W38:W43" si="23">U38-V38</f>
        <v>95.019999999999982</v>
      </c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x14ac:dyDescent="0.3">
      <c r="A39" s="430" t="s">
        <v>313</v>
      </c>
      <c r="B39" s="416" t="s">
        <v>137</v>
      </c>
      <c r="C39" s="214">
        <v>4030</v>
      </c>
      <c r="D39" s="200">
        <f t="shared" ref="D39:D40" si="24">E39-H39</f>
        <v>1250</v>
      </c>
      <c r="E39" s="154">
        <f>3750</f>
        <v>3750</v>
      </c>
      <c r="F39" s="639">
        <f t="shared" ref="F39:F40" si="25">+D39/H39</f>
        <v>0.5</v>
      </c>
      <c r="G39" s="66"/>
      <c r="H39" s="410">
        <v>2500</v>
      </c>
      <c r="I39" s="151">
        <f>H39/12*Summary!$G$31</f>
        <v>2291.666666666667</v>
      </c>
      <c r="J39" s="420">
        <v>81.739999999999995</v>
      </c>
      <c r="K39" s="153">
        <f t="shared" ref="K39:K40" si="26">I39-J39</f>
        <v>2209.9266666666672</v>
      </c>
      <c r="M39" s="486" t="s">
        <v>94</v>
      </c>
      <c r="N39" s="117" t="s">
        <v>137</v>
      </c>
      <c r="O39" s="454">
        <v>4531</v>
      </c>
      <c r="P39" s="200">
        <f t="shared" si="21"/>
        <v>0</v>
      </c>
      <c r="Q39" s="154">
        <v>150</v>
      </c>
      <c r="R39" s="639">
        <f t="shared" si="22"/>
        <v>0</v>
      </c>
      <c r="S39" s="52"/>
      <c r="T39" s="150">
        <v>150</v>
      </c>
      <c r="U39" s="151">
        <f>T39/12*Summary!$G$31</f>
        <v>137.5</v>
      </c>
      <c r="V39" s="152">
        <v>0</v>
      </c>
      <c r="W39" s="153">
        <f t="shared" si="23"/>
        <v>137.5</v>
      </c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5.6" x14ac:dyDescent="0.3">
      <c r="A40" s="430" t="s">
        <v>56</v>
      </c>
      <c r="B40" s="416"/>
      <c r="C40" s="214">
        <v>4031</v>
      </c>
      <c r="D40" s="417">
        <f t="shared" si="24"/>
        <v>0</v>
      </c>
      <c r="E40" s="418">
        <v>250</v>
      </c>
      <c r="F40" s="639">
        <f t="shared" si="25"/>
        <v>0</v>
      </c>
      <c r="G40" s="66"/>
      <c r="H40" s="410">
        <v>250</v>
      </c>
      <c r="I40" s="151">
        <f>H40/12*Summary!$G$31</f>
        <v>229.16666666666666</v>
      </c>
      <c r="J40" s="420">
        <v>383.93</v>
      </c>
      <c r="K40" s="153">
        <f t="shared" si="26"/>
        <v>-154.76333333333335</v>
      </c>
      <c r="M40" s="437" t="s">
        <v>39</v>
      </c>
      <c r="N40" s="117"/>
      <c r="O40" s="454">
        <v>4532</v>
      </c>
      <c r="P40" s="200">
        <f t="shared" si="21"/>
        <v>2</v>
      </c>
      <c r="Q40" s="438">
        <v>325</v>
      </c>
      <c r="R40" s="639">
        <f t="shared" si="22"/>
        <v>6.1919504643962852E-3</v>
      </c>
      <c r="S40" s="175"/>
      <c r="T40" s="172">
        <v>323</v>
      </c>
      <c r="U40" s="151">
        <f>T40/12*Summary!$G$31</f>
        <v>296.08333333333337</v>
      </c>
      <c r="V40" s="152">
        <v>321.95</v>
      </c>
      <c r="W40" s="153">
        <f t="shared" si="23"/>
        <v>-25.866666666666617</v>
      </c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5.75" customHeight="1" x14ac:dyDescent="0.3">
      <c r="A41" s="437"/>
      <c r="B41" s="416"/>
      <c r="C41" s="214"/>
      <c r="D41" s="417"/>
      <c r="E41" s="468"/>
      <c r="F41" s="642"/>
      <c r="G41" s="321"/>
      <c r="H41" s="469"/>
      <c r="I41" s="323"/>
      <c r="J41" s="164"/>
      <c r="K41" s="439"/>
      <c r="M41" s="437" t="s">
        <v>95</v>
      </c>
      <c r="N41" s="117"/>
      <c r="O41" s="454">
        <v>4533</v>
      </c>
      <c r="P41" s="200">
        <f t="shared" si="21"/>
        <v>0</v>
      </c>
      <c r="Q41" s="438">
        <v>355</v>
      </c>
      <c r="R41" s="639">
        <f t="shared" si="22"/>
        <v>0</v>
      </c>
      <c r="S41" s="175"/>
      <c r="T41" s="172">
        <v>355</v>
      </c>
      <c r="U41" s="151">
        <f>T41/12*Summary!$G$31</f>
        <v>325.41666666666663</v>
      </c>
      <c r="V41" s="152">
        <v>183.96</v>
      </c>
      <c r="W41" s="153">
        <f t="shared" si="23"/>
        <v>141.45666666666662</v>
      </c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5.75" customHeight="1" thickBot="1" x14ac:dyDescent="0.35">
      <c r="A42" s="426" t="s">
        <v>110</v>
      </c>
      <c r="B42" s="466"/>
      <c r="C42" s="467"/>
      <c r="D42" s="72">
        <f>SUM(D38:D40)</f>
        <v>1250</v>
      </c>
      <c r="E42" s="42">
        <f>SUM(E39:E40)</f>
        <v>4000</v>
      </c>
      <c r="F42" s="641">
        <f>+D42/H42</f>
        <v>0.45454545454545453</v>
      </c>
      <c r="G42" s="467"/>
      <c r="H42" s="103">
        <f>SUM(H38:H40)</f>
        <v>2750</v>
      </c>
      <c r="I42" s="73">
        <f>SUM(I38:I40)</f>
        <v>2520.8333333333335</v>
      </c>
      <c r="J42" s="73">
        <f>SUM(J38:J40)</f>
        <v>465.67</v>
      </c>
      <c r="K42" s="427">
        <f>SUM(K38:K40)</f>
        <v>2055.1633333333339</v>
      </c>
      <c r="M42" s="437" t="s">
        <v>84</v>
      </c>
      <c r="N42" s="117"/>
      <c r="O42" s="454" t="s">
        <v>137</v>
      </c>
      <c r="P42" s="200">
        <f t="shared" si="21"/>
        <v>0</v>
      </c>
      <c r="Q42" s="438">
        <v>0</v>
      </c>
      <c r="R42" s="639">
        <v>0</v>
      </c>
      <c r="S42" s="175"/>
      <c r="T42" s="172">
        <v>0</v>
      </c>
      <c r="U42" s="151">
        <f>T42/12*Summary!$G$31</f>
        <v>0</v>
      </c>
      <c r="V42" s="152">
        <v>0</v>
      </c>
      <c r="W42" s="153">
        <f t="shared" si="23"/>
        <v>0</v>
      </c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5.75" customHeight="1" x14ac:dyDescent="0.3">
      <c r="A43" s="437"/>
      <c r="B43" s="117"/>
      <c r="C43" s="457"/>
      <c r="D43" s="200">
        <f>SUM('CMS, Leisure &amp; Ins'!E67)</f>
        <v>0</v>
      </c>
      <c r="E43" s="469"/>
      <c r="F43" s="643"/>
      <c r="G43" s="321"/>
      <c r="H43" s="469"/>
      <c r="I43" s="323"/>
      <c r="J43" s="470"/>
      <c r="K43" s="153"/>
      <c r="M43" s="437" t="s">
        <v>85</v>
      </c>
      <c r="N43" s="117"/>
      <c r="O43" s="454">
        <v>4554</v>
      </c>
      <c r="P43" s="200">
        <f t="shared" si="21"/>
        <v>-100</v>
      </c>
      <c r="Q43" s="438">
        <v>100</v>
      </c>
      <c r="R43" s="639">
        <f t="shared" si="22"/>
        <v>-0.5</v>
      </c>
      <c r="S43" s="175"/>
      <c r="T43" s="172">
        <v>200</v>
      </c>
      <c r="U43" s="151">
        <f>T43/12*Summary!$G$31</f>
        <v>183.33333333333334</v>
      </c>
      <c r="V43" s="152">
        <v>221.85</v>
      </c>
      <c r="W43" s="153">
        <f t="shared" si="23"/>
        <v>-38.516666666666652</v>
      </c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5.75" customHeight="1" x14ac:dyDescent="0.3">
      <c r="A44" s="412" t="s">
        <v>20</v>
      </c>
      <c r="B44" s="416"/>
      <c r="C44" s="214"/>
      <c r="D44" s="423"/>
      <c r="E44" s="424"/>
      <c r="F44" s="640"/>
      <c r="G44" s="413"/>
      <c r="H44" s="410"/>
      <c r="I44" s="70"/>
      <c r="J44" s="70"/>
      <c r="K44" s="425"/>
      <c r="M44" s="437" t="s">
        <v>96</v>
      </c>
      <c r="N44" s="117"/>
      <c r="O44" s="454">
        <v>0</v>
      </c>
      <c r="P44" s="200">
        <f t="shared" si="21"/>
        <v>0</v>
      </c>
      <c r="Q44" s="438">
        <v>0</v>
      </c>
      <c r="R44" s="639">
        <v>0</v>
      </c>
      <c r="S44" s="489"/>
      <c r="T44" s="172">
        <v>0</v>
      </c>
      <c r="U44" s="151">
        <f>T44/12*Summary!$G$31</f>
        <v>0</v>
      </c>
      <c r="V44" s="152">
        <v>0</v>
      </c>
      <c r="W44" s="153">
        <f>U44-V44</f>
        <v>0</v>
      </c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5.75" customHeight="1" x14ac:dyDescent="0.3">
      <c r="A45" s="415" t="s">
        <v>21</v>
      </c>
      <c r="B45" s="416"/>
      <c r="C45" s="214">
        <v>4270</v>
      </c>
      <c r="D45" s="417">
        <f t="shared" ref="D45" si="27">E45-H45</f>
        <v>300</v>
      </c>
      <c r="E45" s="418">
        <v>1000</v>
      </c>
      <c r="F45" s="639">
        <f t="shared" ref="F45:F51" si="28">+D45/H45</f>
        <v>0.42857142857142855</v>
      </c>
      <c r="G45" s="419"/>
      <c r="H45" s="410">
        <v>700</v>
      </c>
      <c r="I45" s="151">
        <f>H45/12*Summary!$G$31</f>
        <v>641.66666666666674</v>
      </c>
      <c r="J45" s="420">
        <v>994.81</v>
      </c>
      <c r="K45" s="153">
        <f t="shared" ref="K45" si="29">I45-J45</f>
        <v>-353.1433333333332</v>
      </c>
      <c r="L45" s="11"/>
      <c r="M45" s="437"/>
      <c r="N45" s="117"/>
      <c r="O45" s="454"/>
      <c r="P45" s="417"/>
      <c r="Q45" s="485"/>
      <c r="R45" s="647"/>
      <c r="S45" s="175"/>
      <c r="T45" s="172"/>
      <c r="U45" s="472"/>
      <c r="V45" s="151"/>
      <c r="W45" s="153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5.75" customHeight="1" thickBot="1" x14ac:dyDescent="0.35">
      <c r="A46" s="415" t="s">
        <v>22</v>
      </c>
      <c r="B46" s="416"/>
      <c r="C46" s="214">
        <v>4272</v>
      </c>
      <c r="D46" s="417">
        <f t="shared" ref="D46:D51" si="30">E46-H46</f>
        <v>400</v>
      </c>
      <c r="E46" s="154">
        <v>1000</v>
      </c>
      <c r="F46" s="639">
        <f t="shared" si="28"/>
        <v>0.66666666666666663</v>
      </c>
      <c r="G46" s="419"/>
      <c r="H46" s="410">
        <v>600</v>
      </c>
      <c r="I46" s="151">
        <f>H46/12*Summary!$G$31</f>
        <v>550</v>
      </c>
      <c r="J46" s="420">
        <v>869.94</v>
      </c>
      <c r="K46" s="153">
        <f t="shared" ref="K46:K51" si="31">I46-J46</f>
        <v>-319.94000000000005</v>
      </c>
      <c r="M46" s="480" t="s">
        <v>115</v>
      </c>
      <c r="N46" s="474"/>
      <c r="O46" s="476"/>
      <c r="P46" s="48">
        <f>SUM(P37:P45)</f>
        <v>-98</v>
      </c>
      <c r="Q46" s="49">
        <f>SUM(Q37:Q45)</f>
        <v>2130</v>
      </c>
      <c r="R46" s="641">
        <f>+P46/T46</f>
        <v>-4.3985637342908439E-2</v>
      </c>
      <c r="S46" s="58"/>
      <c r="T46" s="111">
        <f>SUM(T37:T45)</f>
        <v>2228</v>
      </c>
      <c r="U46" s="50">
        <f>SUM(U37:U45)</f>
        <v>2042.3333333333333</v>
      </c>
      <c r="V46" s="50">
        <f>SUM(V37:V45)</f>
        <v>1732.74</v>
      </c>
      <c r="W46" s="481">
        <f>SUM(W37:W45)</f>
        <v>309.59333333333336</v>
      </c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s="11" customFormat="1" ht="15.75" customHeight="1" x14ac:dyDescent="0.3">
      <c r="A47" s="415" t="s">
        <v>23</v>
      </c>
      <c r="B47" s="416"/>
      <c r="C47" s="214">
        <v>4273</v>
      </c>
      <c r="D47" s="417">
        <f t="shared" si="30"/>
        <v>0</v>
      </c>
      <c r="E47" s="418">
        <v>50</v>
      </c>
      <c r="F47" s="639">
        <f t="shared" si="28"/>
        <v>0</v>
      </c>
      <c r="G47" s="419"/>
      <c r="H47" s="410">
        <v>50</v>
      </c>
      <c r="I47" s="151">
        <f>H47/12*Summary!$G$31</f>
        <v>45.833333333333336</v>
      </c>
      <c r="J47" s="420">
        <v>36.299999999999997</v>
      </c>
      <c r="K47" s="153">
        <f t="shared" si="31"/>
        <v>9.5333333333333385</v>
      </c>
      <c r="M47" s="169"/>
      <c r="N47" s="117"/>
      <c r="O47" s="117"/>
      <c r="P47" s="117"/>
      <c r="Q47" s="117"/>
      <c r="R47" s="454"/>
      <c r="S47" s="117"/>
      <c r="T47" s="117"/>
      <c r="U47" s="117"/>
      <c r="V47" s="117"/>
      <c r="W47" s="298"/>
      <c r="X47" s="76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5.75" customHeight="1" x14ac:dyDescent="0.3">
      <c r="A48" s="440" t="s">
        <v>61</v>
      </c>
      <c r="B48" s="416"/>
      <c r="C48" s="214">
        <v>4274</v>
      </c>
      <c r="D48" s="417">
        <f t="shared" si="30"/>
        <v>250</v>
      </c>
      <c r="E48" s="154">
        <v>500</v>
      </c>
      <c r="F48" s="639">
        <f t="shared" si="28"/>
        <v>1</v>
      </c>
      <c r="G48" s="441"/>
      <c r="H48" s="410">
        <v>250</v>
      </c>
      <c r="I48" s="151">
        <f>H48/12*Summary!$G$31</f>
        <v>229.16666666666666</v>
      </c>
      <c r="J48" s="420">
        <v>447.83</v>
      </c>
      <c r="K48" s="153">
        <f t="shared" si="31"/>
        <v>-218.66333333333333</v>
      </c>
      <c r="M48" s="436" t="s">
        <v>18</v>
      </c>
      <c r="N48" s="117"/>
      <c r="O48" s="454"/>
      <c r="P48" s="51"/>
      <c r="Q48" s="485"/>
      <c r="R48" s="647"/>
      <c r="S48" s="162"/>
      <c r="T48" s="172"/>
      <c r="U48" s="52"/>
      <c r="V48" s="52"/>
      <c r="W48" s="17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5.6" x14ac:dyDescent="0.3">
      <c r="A49" s="440" t="s">
        <v>89</v>
      </c>
      <c r="B49" s="416"/>
      <c r="C49" s="214">
        <v>4275</v>
      </c>
      <c r="D49" s="417">
        <f t="shared" si="30"/>
        <v>-50</v>
      </c>
      <c r="E49" s="154">
        <v>100</v>
      </c>
      <c r="F49" s="639">
        <f t="shared" si="28"/>
        <v>-0.33333333333333331</v>
      </c>
      <c r="G49" s="441"/>
      <c r="H49" s="410">
        <v>150</v>
      </c>
      <c r="I49" s="151">
        <f>H49/12*Summary!$G$31</f>
        <v>137.5</v>
      </c>
      <c r="J49" s="420">
        <v>71.92</v>
      </c>
      <c r="K49" s="153">
        <f t="shared" si="31"/>
        <v>65.58</v>
      </c>
      <c r="M49" s="443" t="s">
        <v>10</v>
      </c>
      <c r="N49" s="117"/>
      <c r="O49" s="454">
        <v>4520</v>
      </c>
      <c r="P49" s="200">
        <f t="shared" ref="P49:P54" si="32">Q49-T49</f>
        <v>0</v>
      </c>
      <c r="Q49" s="438">
        <v>500</v>
      </c>
      <c r="R49" s="639">
        <f t="shared" ref="R49:R57" si="33">+P49/T49</f>
        <v>0</v>
      </c>
      <c r="S49" s="163"/>
      <c r="T49" s="172">
        <v>500</v>
      </c>
      <c r="U49" s="151">
        <f>T49/12*Summary!$G$31</f>
        <v>458.33333333333331</v>
      </c>
      <c r="V49" s="152">
        <v>735.07</v>
      </c>
      <c r="W49" s="153">
        <f t="shared" ref="W49:W54" si="34">U49-V49</f>
        <v>-276.73666666666674</v>
      </c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5.6" x14ac:dyDescent="0.3">
      <c r="A50" s="440" t="s">
        <v>128</v>
      </c>
      <c r="B50" s="416"/>
      <c r="C50" s="214">
        <v>4277</v>
      </c>
      <c r="D50" s="417">
        <f t="shared" si="30"/>
        <v>-250</v>
      </c>
      <c r="E50" s="154">
        <v>500</v>
      </c>
      <c r="F50" s="639">
        <f t="shared" si="28"/>
        <v>-0.33333333333333331</v>
      </c>
      <c r="G50" s="441"/>
      <c r="H50" s="410">
        <v>750</v>
      </c>
      <c r="I50" s="151">
        <f>H50/12*Summary!$G$31</f>
        <v>687.5</v>
      </c>
      <c r="J50" s="420">
        <v>412.17</v>
      </c>
      <c r="K50" s="153">
        <f t="shared" si="31"/>
        <v>275.33</v>
      </c>
      <c r="M50" s="486" t="s">
        <v>63</v>
      </c>
      <c r="N50" s="117"/>
      <c r="O50" s="454">
        <v>4521</v>
      </c>
      <c r="P50" s="200">
        <f t="shared" si="32"/>
        <v>232</v>
      </c>
      <c r="Q50" s="154">
        <v>400</v>
      </c>
      <c r="R50" s="639">
        <f t="shared" si="33"/>
        <v>1.3809523809523809</v>
      </c>
      <c r="S50" s="52"/>
      <c r="T50" s="150">
        <v>168</v>
      </c>
      <c r="U50" s="151">
        <f>T50/12*Summary!$G$31</f>
        <v>154</v>
      </c>
      <c r="V50" s="152">
        <v>508.79</v>
      </c>
      <c r="W50" s="153">
        <f t="shared" si="34"/>
        <v>-354.79</v>
      </c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5.6" x14ac:dyDescent="0.3">
      <c r="A51" s="440" t="s">
        <v>88</v>
      </c>
      <c r="B51" s="416"/>
      <c r="C51" s="214">
        <v>4296</v>
      </c>
      <c r="D51" s="417">
        <f t="shared" si="30"/>
        <v>300</v>
      </c>
      <c r="E51" s="418">
        <v>3600</v>
      </c>
      <c r="F51" s="639">
        <f t="shared" si="28"/>
        <v>9.0909090909090912E-2</v>
      </c>
      <c r="G51" s="441"/>
      <c r="H51" s="410">
        <v>3300</v>
      </c>
      <c r="I51" s="151">
        <f>H51/12*Summary!$G$31</f>
        <v>3025</v>
      </c>
      <c r="J51" s="420">
        <v>3667.94</v>
      </c>
      <c r="K51" s="153">
        <f t="shared" si="31"/>
        <v>-642.94000000000005</v>
      </c>
      <c r="M51" s="437" t="s">
        <v>11</v>
      </c>
      <c r="N51" s="117"/>
      <c r="O51" s="454">
        <v>4522</v>
      </c>
      <c r="P51" s="697">
        <f t="shared" si="32"/>
        <v>7</v>
      </c>
      <c r="Q51" s="154">
        <v>145</v>
      </c>
      <c r="R51" s="639">
        <f t="shared" si="33"/>
        <v>5.0724637681159424E-2</v>
      </c>
      <c r="S51" s="175"/>
      <c r="T51" s="150">
        <v>138</v>
      </c>
      <c r="U51" s="151">
        <f>T51/12*Summary!$G$31</f>
        <v>126.5</v>
      </c>
      <c r="V51" s="152">
        <v>475.89</v>
      </c>
      <c r="W51" s="439">
        <f t="shared" si="34"/>
        <v>-349.39</v>
      </c>
      <c r="X51" s="1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5.6" x14ac:dyDescent="0.3">
      <c r="A52" s="135"/>
      <c r="B52" s="6"/>
      <c r="C52" s="114"/>
      <c r="D52" s="6"/>
      <c r="E52" s="6"/>
      <c r="F52" s="637"/>
      <c r="G52" s="6"/>
      <c r="H52" s="410"/>
      <c r="I52" s="410"/>
      <c r="J52" s="410"/>
      <c r="K52" s="411"/>
      <c r="M52" s="437" t="s">
        <v>305</v>
      </c>
      <c r="N52" s="117"/>
      <c r="O52" s="454">
        <v>4523</v>
      </c>
      <c r="P52" s="697">
        <f t="shared" si="32"/>
        <v>820</v>
      </c>
      <c r="Q52" s="154">
        <f>372+498</f>
        <v>870</v>
      </c>
      <c r="R52" s="639">
        <f t="shared" si="33"/>
        <v>16.399999999999999</v>
      </c>
      <c r="S52" s="175"/>
      <c r="T52" s="150">
        <v>50</v>
      </c>
      <c r="U52" s="151">
        <f>T52/12*Summary!$G$31</f>
        <v>45.833333333333336</v>
      </c>
      <c r="V52" s="152">
        <v>503.358</v>
      </c>
      <c r="W52" s="439">
        <f t="shared" si="34"/>
        <v>-457.52466666666669</v>
      </c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6.2" thickBot="1" x14ac:dyDescent="0.35">
      <c r="A53" s="426" t="s">
        <v>107</v>
      </c>
      <c r="B53" s="467"/>
      <c r="C53" s="467"/>
      <c r="D53" s="72">
        <f>SUM(D45:D51)</f>
        <v>950</v>
      </c>
      <c r="E53" s="42">
        <f>SUM(E45:E52)</f>
        <v>6750</v>
      </c>
      <c r="F53" s="641">
        <f>+D53/H53</f>
        <v>0.16379310344827586</v>
      </c>
      <c r="G53" s="467"/>
      <c r="H53" s="103">
        <f>SUM(H45:H52)</f>
        <v>5800</v>
      </c>
      <c r="I53" s="73">
        <f>SUM(I45:I52)</f>
        <v>5316.666666666667</v>
      </c>
      <c r="J53" s="73">
        <f>SUM(J45:J52)</f>
        <v>6500.91</v>
      </c>
      <c r="K53" s="427">
        <f>SUM(K45:K52)</f>
        <v>-1184.2433333333333</v>
      </c>
      <c r="M53" s="437" t="s">
        <v>97</v>
      </c>
      <c r="N53" s="117"/>
      <c r="O53" s="454">
        <v>4524</v>
      </c>
      <c r="P53" s="200">
        <f t="shared" si="32"/>
        <v>50</v>
      </c>
      <c r="Q53" s="154">
        <v>100</v>
      </c>
      <c r="R53" s="639">
        <f t="shared" si="33"/>
        <v>1</v>
      </c>
      <c r="S53" s="175"/>
      <c r="T53" s="150">
        <v>50</v>
      </c>
      <c r="U53" s="151">
        <f>T53/12*Summary!$G$31</f>
        <v>45.833333333333336</v>
      </c>
      <c r="V53" s="152">
        <v>336.37</v>
      </c>
      <c r="W53" s="439">
        <f t="shared" si="34"/>
        <v>-290.53666666666669</v>
      </c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x14ac:dyDescent="0.3">
      <c r="A54" s="135"/>
      <c r="B54" s="6"/>
      <c r="C54" s="114"/>
      <c r="D54" s="6"/>
      <c r="E54" s="6"/>
      <c r="F54" s="637"/>
      <c r="G54" s="6"/>
      <c r="H54" s="410"/>
      <c r="I54" s="410"/>
      <c r="J54" s="410"/>
      <c r="K54" s="411"/>
      <c r="M54" s="437" t="s">
        <v>151</v>
      </c>
      <c r="N54" s="117"/>
      <c r="O54" s="454">
        <v>4525</v>
      </c>
      <c r="P54" s="200">
        <f t="shared" si="32"/>
        <v>0</v>
      </c>
      <c r="Q54" s="438">
        <v>150</v>
      </c>
      <c r="R54" s="639">
        <f t="shared" si="33"/>
        <v>0</v>
      </c>
      <c r="S54" s="175"/>
      <c r="T54" s="172">
        <v>150</v>
      </c>
      <c r="U54" s="151">
        <f>T54/12*Summary!$G$31</f>
        <v>137.5</v>
      </c>
      <c r="V54" s="152">
        <v>72.61</v>
      </c>
      <c r="W54" s="153">
        <f t="shared" si="34"/>
        <v>64.89</v>
      </c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x14ac:dyDescent="0.3">
      <c r="A55" s="412" t="s">
        <v>67</v>
      </c>
      <c r="B55" s="416"/>
      <c r="C55" s="214"/>
      <c r="D55" s="423"/>
      <c r="E55" s="6"/>
      <c r="F55" s="640"/>
      <c r="G55" s="413"/>
      <c r="H55" s="410"/>
      <c r="I55" s="70"/>
      <c r="J55" s="70"/>
      <c r="K55" s="425"/>
      <c r="M55" s="490" t="s">
        <v>30</v>
      </c>
      <c r="N55" s="117"/>
      <c r="O55" s="454">
        <v>4527</v>
      </c>
      <c r="P55" s="200">
        <f>Q55-T55</f>
        <v>0</v>
      </c>
      <c r="Q55" s="438">
        <v>1500</v>
      </c>
      <c r="R55" s="639">
        <f t="shared" si="33"/>
        <v>0</v>
      </c>
      <c r="S55" s="491"/>
      <c r="T55" s="172">
        <v>1500</v>
      </c>
      <c r="U55" s="151">
        <f>T55/12*Summary!$G$31</f>
        <v>1375</v>
      </c>
      <c r="V55" s="152">
        <v>66.239999999999995</v>
      </c>
      <c r="W55" s="153">
        <f>U55-V55</f>
        <v>1308.76</v>
      </c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5.6" x14ac:dyDescent="0.3">
      <c r="A56" s="415" t="s">
        <v>68</v>
      </c>
      <c r="B56" s="416"/>
      <c r="C56" s="214">
        <v>4290</v>
      </c>
      <c r="D56" s="690">
        <f>E56-H56</f>
        <v>0</v>
      </c>
      <c r="E56" s="418">
        <v>2100</v>
      </c>
      <c r="F56" s="639">
        <f t="shared" ref="F56:F61" si="35">+D56/H56</f>
        <v>0</v>
      </c>
      <c r="G56" s="419"/>
      <c r="H56" s="410">
        <v>2100</v>
      </c>
      <c r="I56" s="151">
        <f>H56/12*Summary!$G$31</f>
        <v>1925</v>
      </c>
      <c r="J56" s="420">
        <v>0</v>
      </c>
      <c r="K56" s="153">
        <f t="shared" ref="K56:K58" si="36">I56-J56</f>
        <v>1925</v>
      </c>
      <c r="M56" s="490" t="s">
        <v>287</v>
      </c>
      <c r="N56" s="117"/>
      <c r="O56" s="454">
        <v>4528</v>
      </c>
      <c r="P56" s="320">
        <f>Q56-T56</f>
        <v>300</v>
      </c>
      <c r="Q56" s="438">
        <v>850</v>
      </c>
      <c r="R56" s="639">
        <f t="shared" si="33"/>
        <v>0.54545454545454541</v>
      </c>
      <c r="S56" s="491"/>
      <c r="T56" s="172">
        <v>550</v>
      </c>
      <c r="U56" s="151">
        <f>T56/12*Summary!$G$31</f>
        <v>504.16666666666669</v>
      </c>
      <c r="V56" s="152">
        <v>0</v>
      </c>
      <c r="W56" s="153">
        <f>U56-V56</f>
        <v>504.16666666666669</v>
      </c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5.6" x14ac:dyDescent="0.3">
      <c r="A57" s="415" t="s">
        <v>90</v>
      </c>
      <c r="B57" s="416"/>
      <c r="C57" s="214">
        <v>4291</v>
      </c>
      <c r="D57" s="417">
        <f t="shared" ref="D57:D61" si="37">E57-H57</f>
        <v>6000</v>
      </c>
      <c r="E57" s="418">
        <f>1000+5500</f>
        <v>6500</v>
      </c>
      <c r="F57" s="639">
        <f t="shared" si="35"/>
        <v>12</v>
      </c>
      <c r="G57" s="419"/>
      <c r="H57" s="410">
        <v>500</v>
      </c>
      <c r="I57" s="151">
        <f>H57/12*Summary!$G$31</f>
        <v>458.33333333333331</v>
      </c>
      <c r="J57" s="420">
        <v>1503.8</v>
      </c>
      <c r="K57" s="153">
        <f t="shared" si="36"/>
        <v>-1045.4666666666667</v>
      </c>
      <c r="M57" s="490" t="s">
        <v>286</v>
      </c>
      <c r="N57" s="117"/>
      <c r="O57" s="454">
        <v>4529</v>
      </c>
      <c r="P57" s="200">
        <f>Q57-T57</f>
        <v>-2000</v>
      </c>
      <c r="Q57" s="438">
        <v>0</v>
      </c>
      <c r="R57" s="639">
        <f t="shared" si="33"/>
        <v>-1</v>
      </c>
      <c r="S57" s="491"/>
      <c r="T57" s="172">
        <v>2000</v>
      </c>
      <c r="U57" s="151">
        <f>T57/12*Summary!$G$31</f>
        <v>1833.3333333333333</v>
      </c>
      <c r="V57" s="152">
        <v>222.07</v>
      </c>
      <c r="W57" s="153">
        <f>U57-V57</f>
        <v>1611.2633333333333</v>
      </c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15.6" x14ac:dyDescent="0.3">
      <c r="A58" s="415" t="s">
        <v>69</v>
      </c>
      <c r="B58" s="416"/>
      <c r="C58" s="214">
        <v>4292</v>
      </c>
      <c r="D58" s="417">
        <f t="shared" si="37"/>
        <v>1500</v>
      </c>
      <c r="E58" s="154">
        <v>3000</v>
      </c>
      <c r="F58" s="639">
        <f t="shared" si="35"/>
        <v>1</v>
      </c>
      <c r="G58" s="419"/>
      <c r="H58" s="410">
        <v>1500</v>
      </c>
      <c r="I58" s="151">
        <f>H58/12*Summary!$G$31</f>
        <v>1375</v>
      </c>
      <c r="J58" s="420">
        <v>2283</v>
      </c>
      <c r="K58" s="153">
        <f t="shared" si="36"/>
        <v>-908</v>
      </c>
      <c r="M58" s="490"/>
      <c r="N58" s="117"/>
      <c r="O58" s="454"/>
      <c r="P58" s="200"/>
      <c r="Q58" s="485"/>
      <c r="R58" s="647"/>
      <c r="S58" s="491"/>
      <c r="T58" s="172"/>
      <c r="U58" s="472"/>
      <c r="V58" s="151"/>
      <c r="W58" s="153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6.2" thickBot="1" x14ac:dyDescent="0.35">
      <c r="A59" s="440" t="s">
        <v>14</v>
      </c>
      <c r="B59" s="416"/>
      <c r="C59" s="214">
        <v>4294</v>
      </c>
      <c r="D59" s="417">
        <f t="shared" si="37"/>
        <v>0</v>
      </c>
      <c r="E59" s="154">
        <v>150</v>
      </c>
      <c r="F59" s="639">
        <f t="shared" si="35"/>
        <v>0</v>
      </c>
      <c r="G59" s="441"/>
      <c r="H59" s="410">
        <v>150</v>
      </c>
      <c r="I59" s="151">
        <f>H59/12*Summary!$G$31</f>
        <v>137.5</v>
      </c>
      <c r="J59" s="420">
        <v>158.06</v>
      </c>
      <c r="K59" s="153">
        <f>I59-J59</f>
        <v>-20.560000000000002</v>
      </c>
      <c r="M59" s="480" t="s">
        <v>104</v>
      </c>
      <c r="N59" s="474"/>
      <c r="O59" s="476"/>
      <c r="P59" s="48">
        <f>SUM(P48:P58)</f>
        <v>-591</v>
      </c>
      <c r="Q59" s="49">
        <f>SUM(Q48:Q58)</f>
        <v>4515</v>
      </c>
      <c r="R59" s="641">
        <f>+P59/T59</f>
        <v>-0.11574618096357227</v>
      </c>
      <c r="S59" s="58"/>
      <c r="T59" s="111">
        <f>SUM(T48:T58)</f>
        <v>5106</v>
      </c>
      <c r="U59" s="50">
        <f>SUM(U48:U58)</f>
        <v>4680.5</v>
      </c>
      <c r="V59" s="50">
        <f>SUM(V48:V58)</f>
        <v>2920.3980000000001</v>
      </c>
      <c r="W59" s="481">
        <f>SUM(W48:W58)</f>
        <v>1760.1020000000001</v>
      </c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14.4" customHeight="1" x14ac:dyDescent="0.25">
      <c r="A60" s="415" t="s">
        <v>80</v>
      </c>
      <c r="B60" s="416"/>
      <c r="C60" s="214">
        <v>4297</v>
      </c>
      <c r="D60" s="417">
        <f t="shared" si="37"/>
        <v>0</v>
      </c>
      <c r="E60" s="154">
        <v>405</v>
      </c>
      <c r="F60" s="639">
        <f t="shared" si="35"/>
        <v>0</v>
      </c>
      <c r="G60" s="419"/>
      <c r="H60" s="410">
        <v>405</v>
      </c>
      <c r="I60" s="151">
        <f>H60/12*Summary!$G$31</f>
        <v>371.25</v>
      </c>
      <c r="J60" s="420">
        <v>403.92</v>
      </c>
      <c r="K60" s="153">
        <f t="shared" ref="K60" si="38">I60-J60</f>
        <v>-32.670000000000016</v>
      </c>
      <c r="M60" s="135"/>
      <c r="N60" s="6"/>
      <c r="O60" s="126"/>
      <c r="P60" s="6"/>
      <c r="Q60" s="6"/>
      <c r="R60" s="126"/>
      <c r="S60" s="6"/>
      <c r="T60" s="6"/>
      <c r="U60" s="6"/>
      <c r="V60" s="6"/>
      <c r="W60" s="186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5.6" customHeight="1" x14ac:dyDescent="0.3">
      <c r="A61" s="415" t="s">
        <v>86</v>
      </c>
      <c r="B61" s="416"/>
      <c r="C61" s="214">
        <v>4298</v>
      </c>
      <c r="D61" s="417">
        <f t="shared" si="37"/>
        <v>-500</v>
      </c>
      <c r="E61" s="418">
        <v>0</v>
      </c>
      <c r="F61" s="639">
        <f t="shared" si="35"/>
        <v>-1</v>
      </c>
      <c r="G61" s="419"/>
      <c r="H61" s="410">
        <v>500</v>
      </c>
      <c r="I61" s="151">
        <f>H61/12*Summary!$G$31</f>
        <v>458.33333333333331</v>
      </c>
      <c r="J61" s="420">
        <v>145</v>
      </c>
      <c r="K61" s="153">
        <f>I61-J61</f>
        <v>313.33333333333331</v>
      </c>
      <c r="M61" s="436" t="s">
        <v>27</v>
      </c>
      <c r="N61" s="117"/>
      <c r="O61" s="454"/>
      <c r="P61" s="51"/>
      <c r="Q61" s="485"/>
      <c r="R61" s="647"/>
      <c r="S61" s="162"/>
      <c r="T61" s="172"/>
      <c r="U61" s="52"/>
      <c r="V61" s="52"/>
      <c r="W61" s="178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5.6" x14ac:dyDescent="0.3">
      <c r="A62" s="415"/>
      <c r="B62" s="416"/>
      <c r="C62" s="214"/>
      <c r="D62" s="423"/>
      <c r="E62" s="424"/>
      <c r="F62" s="640"/>
      <c r="G62" s="419"/>
      <c r="H62" s="410"/>
      <c r="I62" s="70"/>
      <c r="J62" s="70"/>
      <c r="K62" s="425"/>
      <c r="M62" s="430" t="s">
        <v>74</v>
      </c>
      <c r="N62" s="117"/>
      <c r="O62" s="454">
        <v>4551</v>
      </c>
      <c r="P62" s="417">
        <f t="shared" ref="P62:P63" si="39">Q62-T62</f>
        <v>0</v>
      </c>
      <c r="Q62" s="438">
        <v>1000</v>
      </c>
      <c r="R62" s="639">
        <f t="shared" ref="R62:R63" si="40">+P62/T62</f>
        <v>0</v>
      </c>
      <c r="S62" s="431"/>
      <c r="T62" s="172">
        <v>1000</v>
      </c>
      <c r="U62" s="151">
        <f>T62/12*Summary!$G$31</f>
        <v>916.66666666666663</v>
      </c>
      <c r="V62" s="152">
        <v>720</v>
      </c>
      <c r="W62" s="153">
        <f t="shared" ref="W62:W63" si="41">U62-V62</f>
        <v>196.66666666666663</v>
      </c>
      <c r="AA62" s="11"/>
    </row>
    <row r="63" spans="1:46" ht="16.2" thickBot="1" x14ac:dyDescent="0.35">
      <c r="A63" s="426" t="s">
        <v>108</v>
      </c>
      <c r="B63" s="467"/>
      <c r="C63" s="467"/>
      <c r="D63" s="72">
        <f>SUM(D55:D62)</f>
        <v>7000</v>
      </c>
      <c r="E63" s="42">
        <f>SUM(E55:E62)</f>
        <v>12155</v>
      </c>
      <c r="F63" s="641">
        <f>+D63/H63</f>
        <v>1.3579049466537343</v>
      </c>
      <c r="G63" s="467"/>
      <c r="H63" s="103">
        <f>SUM(H55:H62)</f>
        <v>5155</v>
      </c>
      <c r="I63" s="73">
        <f>SUM(I55:I62)</f>
        <v>4725.416666666667</v>
      </c>
      <c r="J63" s="73">
        <f>SUM(J55:J62)</f>
        <v>4493.78</v>
      </c>
      <c r="K63" s="427">
        <f>SUM(K55:K62)</f>
        <v>231.6366666666666</v>
      </c>
      <c r="M63" s="486" t="s">
        <v>75</v>
      </c>
      <c r="N63" s="117"/>
      <c r="O63" s="454">
        <v>4552</v>
      </c>
      <c r="P63" s="417">
        <f t="shared" si="39"/>
        <v>29</v>
      </c>
      <c r="Q63" s="438">
        <v>230</v>
      </c>
      <c r="R63" s="639">
        <f t="shared" si="40"/>
        <v>0.14427860696517414</v>
      </c>
      <c r="S63" s="52"/>
      <c r="T63" s="172">
        <v>201</v>
      </c>
      <c r="U63" s="151">
        <f>T63/12*Summary!$G$31</f>
        <v>184.25</v>
      </c>
      <c r="V63" s="152">
        <v>201.05</v>
      </c>
      <c r="W63" s="153">
        <f t="shared" si="41"/>
        <v>-16.800000000000011</v>
      </c>
      <c r="AA63" s="11"/>
    </row>
    <row r="64" spans="1:46" ht="15.6" x14ac:dyDescent="0.3">
      <c r="A64" s="135"/>
      <c r="B64" s="6"/>
      <c r="C64" s="114"/>
      <c r="D64" s="6"/>
      <c r="E64" s="6"/>
      <c r="F64" s="637"/>
      <c r="G64" s="6"/>
      <c r="H64" s="410"/>
      <c r="I64" s="410"/>
      <c r="J64" s="410"/>
      <c r="K64" s="411"/>
      <c r="M64" s="492"/>
      <c r="N64" s="117"/>
      <c r="O64" s="454"/>
      <c r="P64" s="417"/>
      <c r="Q64" s="485"/>
      <c r="R64" s="647"/>
      <c r="S64" s="181"/>
      <c r="T64" s="172"/>
      <c r="U64" s="472"/>
      <c r="V64" s="151"/>
      <c r="W64" s="153"/>
      <c r="AA64" s="11"/>
    </row>
    <row r="65" spans="1:27" ht="15" thickBot="1" x14ac:dyDescent="0.35">
      <c r="A65" s="426" t="s">
        <v>102</v>
      </c>
      <c r="B65" s="467"/>
      <c r="C65" s="467"/>
      <c r="D65" s="72">
        <f>D16+D29+D36+D42+D53+D63</f>
        <v>20757</v>
      </c>
      <c r="E65" s="42">
        <f>E16+E29+E36+E42+E53+E63</f>
        <v>167327.25</v>
      </c>
      <c r="F65" s="641">
        <f>+D65/H65</f>
        <v>0.14161809780634202</v>
      </c>
      <c r="G65" s="467"/>
      <c r="H65" s="103">
        <f>H16+H29+H36+H42+H53+H63</f>
        <v>146570.25</v>
      </c>
      <c r="I65" s="73">
        <f>I16+I29+I36+I42+I53+I63</f>
        <v>134356.0625</v>
      </c>
      <c r="J65" s="73">
        <f>J16+J29+J36+J42+J53+J63</f>
        <v>115036.14000000001</v>
      </c>
      <c r="K65" s="427">
        <f>K16+K29+K36+K42+K53+K63</f>
        <v>19319.922499999993</v>
      </c>
      <c r="M65" s="480" t="s">
        <v>116</v>
      </c>
      <c r="N65" s="474"/>
      <c r="O65" s="476"/>
      <c r="P65" s="48">
        <f t="shared" ref="P65:Q65" si="42">SUM(P61:P64)</f>
        <v>29</v>
      </c>
      <c r="Q65" s="49">
        <f t="shared" si="42"/>
        <v>1230</v>
      </c>
      <c r="R65" s="641">
        <f>+P65/T65</f>
        <v>2.4146544546211492E-2</v>
      </c>
      <c r="S65" s="58"/>
      <c r="T65" s="111">
        <f t="shared" ref="T65:W65" si="43">SUM(T61:T64)</f>
        <v>1201</v>
      </c>
      <c r="U65" s="50">
        <f t="shared" si="43"/>
        <v>1100.9166666666665</v>
      </c>
      <c r="V65" s="50">
        <f t="shared" si="43"/>
        <v>921.05</v>
      </c>
      <c r="W65" s="481">
        <f t="shared" si="43"/>
        <v>179.86666666666662</v>
      </c>
      <c r="AA65" s="11"/>
    </row>
    <row r="66" spans="1:27" x14ac:dyDescent="0.3">
      <c r="A66" s="436"/>
      <c r="B66" s="435"/>
      <c r="C66" s="455"/>
      <c r="D66" s="43"/>
      <c r="E66" s="424"/>
      <c r="F66" s="640"/>
      <c r="G66" s="162"/>
      <c r="H66" s="145"/>
      <c r="I66" s="70"/>
      <c r="J66" s="70"/>
      <c r="K66" s="425"/>
      <c r="M66" s="135"/>
      <c r="N66" s="6"/>
      <c r="O66" s="126"/>
      <c r="P66" s="6"/>
      <c r="Q66" s="6"/>
      <c r="R66" s="126"/>
      <c r="S66" s="6"/>
      <c r="T66" s="6"/>
      <c r="U66" s="6"/>
      <c r="V66" s="6"/>
      <c r="W66" s="186"/>
      <c r="AA66" s="11"/>
    </row>
    <row r="67" spans="1:27" ht="16.2" thickBot="1" x14ac:dyDescent="0.35">
      <c r="A67" s="443" t="s">
        <v>78</v>
      </c>
      <c r="B67" s="442"/>
      <c r="C67" s="455"/>
      <c r="D67" s="417">
        <f>E67-H67</f>
        <v>-18000</v>
      </c>
      <c r="E67" s="418">
        <v>0</v>
      </c>
      <c r="F67" s="639">
        <f t="shared" ref="F67" si="44">+D67/H67</f>
        <v>-1</v>
      </c>
      <c r="G67" s="163"/>
      <c r="H67" s="410">
        <v>18000</v>
      </c>
      <c r="I67" s="151">
        <f>H67/12*Summary!$G$31</f>
        <v>16500</v>
      </c>
      <c r="J67" s="323">
        <f>I67</f>
        <v>16500</v>
      </c>
      <c r="K67" s="153">
        <f>I67-J67</f>
        <v>0</v>
      </c>
      <c r="M67" s="480" t="s">
        <v>102</v>
      </c>
      <c r="N67" s="474"/>
      <c r="O67" s="476"/>
      <c r="P67" s="120">
        <f>P17+P28+P35+P46+P59+P65</f>
        <v>11058</v>
      </c>
      <c r="Q67" s="121">
        <f>Q17+Q28+Q35+Q46+Q59+Q65</f>
        <v>66405</v>
      </c>
      <c r="R67" s="641">
        <f>+P67/T67</f>
        <v>0.19979402677651906</v>
      </c>
      <c r="S67" s="58"/>
      <c r="T67" s="65">
        <f>T17+T28+T35+T46+T59+T65</f>
        <v>55347</v>
      </c>
      <c r="U67" s="119">
        <f>U17+U28+U35+U46+U59+U65</f>
        <v>50734.75</v>
      </c>
      <c r="V67" s="119">
        <f>V17+V28+V35+V46+V59+V65</f>
        <v>43494.958000000006</v>
      </c>
      <c r="W67" s="493">
        <f>W17+W28+W35+W46+W59+W65</f>
        <v>7239.7919999999958</v>
      </c>
      <c r="AA67" s="11"/>
    </row>
    <row r="68" spans="1:27" x14ac:dyDescent="0.3">
      <c r="A68" s="443"/>
      <c r="B68" s="163"/>
      <c r="C68" s="458"/>
      <c r="D68" s="200"/>
      <c r="E68" s="424"/>
      <c r="F68" s="640"/>
      <c r="G68" s="163"/>
      <c r="H68" s="157"/>
      <c r="I68" s="70"/>
      <c r="J68" s="70"/>
      <c r="K68" s="425"/>
      <c r="M68" s="443"/>
      <c r="N68" s="117"/>
      <c r="O68" s="454"/>
      <c r="P68" s="51"/>
      <c r="Q68" s="485"/>
      <c r="R68" s="647"/>
      <c r="S68" s="163"/>
      <c r="T68" s="172"/>
      <c r="U68" s="52"/>
      <c r="V68" s="52"/>
      <c r="W68" s="178"/>
      <c r="AA68" s="11"/>
    </row>
    <row r="69" spans="1:27" ht="16.2" thickBot="1" x14ac:dyDescent="0.35">
      <c r="A69" s="426" t="s">
        <v>0</v>
      </c>
      <c r="B69" s="467"/>
      <c r="C69" s="467"/>
      <c r="D69" s="33">
        <f>SUM(D65:D68)</f>
        <v>2757</v>
      </c>
      <c r="E69" s="34">
        <f>SUM(E65:E68)</f>
        <v>167327.25</v>
      </c>
      <c r="F69" s="629">
        <f>+D69/H69</f>
        <v>1.6752724140602568E-2</v>
      </c>
      <c r="G69" s="467"/>
      <c r="H69" s="104">
        <f>SUM(H65:H68)</f>
        <v>164570.25</v>
      </c>
      <c r="I69" s="35">
        <f t="shared" ref="I69:K69" si="45">SUM(I65:I68)</f>
        <v>150856.0625</v>
      </c>
      <c r="J69" s="35">
        <f t="shared" si="45"/>
        <v>131536.14000000001</v>
      </c>
      <c r="K69" s="158">
        <f t="shared" si="45"/>
        <v>19319.922499999993</v>
      </c>
      <c r="M69" s="494" t="s">
        <v>78</v>
      </c>
      <c r="N69" s="117"/>
      <c r="O69" s="454"/>
      <c r="P69" s="417">
        <f>Q69-T69</f>
        <v>0</v>
      </c>
      <c r="Q69" s="438">
        <v>13650</v>
      </c>
      <c r="R69" s="639">
        <f t="shared" ref="R69" si="46">+P69/T69</f>
        <v>0</v>
      </c>
      <c r="S69" s="61"/>
      <c r="T69" s="157">
        <v>13650</v>
      </c>
      <c r="U69" s="151">
        <f>T69/12*Summary!$G$31</f>
        <v>12512.5</v>
      </c>
      <c r="V69" s="323">
        <f>U69</f>
        <v>12512.5</v>
      </c>
      <c r="W69" s="153">
        <f>U69-V69</f>
        <v>0</v>
      </c>
      <c r="AA69" s="11"/>
    </row>
    <row r="70" spans="1:27" ht="15.6" x14ac:dyDescent="0.3">
      <c r="M70" s="443"/>
      <c r="N70" s="117"/>
      <c r="O70" s="454"/>
      <c r="P70" s="417"/>
      <c r="Q70" s="485"/>
      <c r="R70" s="647"/>
      <c r="S70" s="163"/>
      <c r="T70" s="172"/>
      <c r="U70" s="472"/>
      <c r="V70" s="472"/>
      <c r="W70" s="439"/>
      <c r="AA70" s="11"/>
    </row>
    <row r="71" spans="1:27" ht="15.75" hidden="1" customHeight="1" x14ac:dyDescent="0.3">
      <c r="A71" s="444"/>
      <c r="B71" s="445"/>
      <c r="C71" s="459"/>
      <c r="D71" s="446"/>
      <c r="E71" s="447"/>
      <c r="F71" s="644"/>
      <c r="G71" s="446"/>
      <c r="H71" s="448"/>
      <c r="I71" s="449"/>
      <c r="J71" s="449"/>
      <c r="K71" s="450"/>
      <c r="M71" s="480" t="s">
        <v>0</v>
      </c>
      <c r="N71" s="117"/>
      <c r="O71" s="454"/>
      <c r="P71" s="120">
        <f t="shared" ref="P71:Q71" si="47">SUM(P67:P70)</f>
        <v>11058</v>
      </c>
      <c r="Q71" s="121">
        <f t="shared" si="47"/>
        <v>80055</v>
      </c>
      <c r="R71" s="649"/>
      <c r="S71" s="61"/>
      <c r="T71" s="65">
        <f t="shared" ref="T71:W71" si="48">SUM(T67:T70)</f>
        <v>68997</v>
      </c>
      <c r="U71" s="119">
        <f t="shared" si="48"/>
        <v>63247.25</v>
      </c>
      <c r="V71" s="119">
        <f t="shared" si="48"/>
        <v>56007.458000000006</v>
      </c>
      <c r="W71" s="493">
        <f t="shared" si="48"/>
        <v>7239.7919999999958</v>
      </c>
      <c r="AA71" s="11"/>
    </row>
    <row r="72" spans="1:27" ht="15.75" customHeight="1" thickBot="1" x14ac:dyDescent="0.3">
      <c r="A72"/>
      <c r="B72"/>
      <c r="C72"/>
      <c r="D72"/>
      <c r="E72"/>
      <c r="F72"/>
      <c r="G72"/>
      <c r="H72"/>
      <c r="I72"/>
      <c r="J72"/>
      <c r="K72"/>
      <c r="M72" s="426" t="s">
        <v>0</v>
      </c>
      <c r="N72" s="467"/>
      <c r="O72" s="467"/>
      <c r="P72" s="33">
        <f>SUM(P67:P69)</f>
        <v>11058</v>
      </c>
      <c r="Q72" s="34">
        <f>SUM(Q67:Q69)</f>
        <v>80055</v>
      </c>
      <c r="R72" s="641">
        <f>+P72/T72</f>
        <v>0.16026783773207531</v>
      </c>
      <c r="S72" s="467"/>
      <c r="T72" s="104">
        <f>SUM(T67:T69)</f>
        <v>68997</v>
      </c>
      <c r="U72" s="554">
        <f>SUM(U67:U69)</f>
        <v>63247.25</v>
      </c>
      <c r="V72" s="35">
        <f>SUM(V67:V69)</f>
        <v>56007.458000000006</v>
      </c>
      <c r="W72" s="35">
        <f>SUM(W67:W69)</f>
        <v>7239.7919999999958</v>
      </c>
    </row>
    <row r="73" spans="1:27" ht="15" customHeight="1" x14ac:dyDescent="0.25">
      <c r="A73"/>
      <c r="B73"/>
      <c r="C73"/>
      <c r="D73"/>
      <c r="E73"/>
      <c r="F73"/>
      <c r="G73"/>
      <c r="H73"/>
      <c r="I73"/>
      <c r="J73"/>
      <c r="K73"/>
      <c r="M73" s="74"/>
      <c r="N73" s="214"/>
      <c r="O73" s="214"/>
      <c r="P73" s="43"/>
      <c r="Q73" s="44"/>
      <c r="R73" s="702"/>
      <c r="S73" s="214"/>
      <c r="T73" s="94"/>
      <c r="U73" s="703"/>
      <c r="V73" s="45"/>
      <c r="W73" s="45"/>
    </row>
    <row r="74" spans="1:27" ht="15" customHeight="1" x14ac:dyDescent="0.25">
      <c r="A74"/>
      <c r="B74"/>
      <c r="C74"/>
      <c r="D74"/>
      <c r="E74"/>
      <c r="F74"/>
      <c r="G74"/>
      <c r="H74"/>
      <c r="I74"/>
      <c r="J74"/>
      <c r="K74"/>
      <c r="M74" s="74"/>
      <c r="N74" s="214"/>
      <c r="O74" s="214"/>
      <c r="P74" s="43"/>
      <c r="Q74" s="44"/>
      <c r="R74" s="702"/>
      <c r="S74" s="214"/>
      <c r="T74" s="94"/>
      <c r="U74" s="703"/>
      <c r="V74" s="45"/>
      <c r="W74" s="45"/>
    </row>
    <row r="75" spans="1:27" ht="15" customHeight="1" x14ac:dyDescent="0.25">
      <c r="A75"/>
      <c r="B75"/>
      <c r="C75"/>
      <c r="D75"/>
      <c r="E75"/>
      <c r="F75"/>
      <c r="G75"/>
      <c r="H75"/>
      <c r="I75"/>
      <c r="J75"/>
      <c r="K75"/>
      <c r="M75" s="74"/>
      <c r="N75" s="214"/>
      <c r="O75" s="214"/>
      <c r="P75" s="43"/>
      <c r="Q75" s="44"/>
      <c r="R75" s="702"/>
      <c r="S75" s="214"/>
      <c r="T75" s="94"/>
      <c r="U75" s="703"/>
      <c r="V75" s="45"/>
      <c r="W75" s="45"/>
    </row>
    <row r="76" spans="1:27" ht="15" customHeight="1" x14ac:dyDescent="0.25">
      <c r="A76"/>
      <c r="B76"/>
      <c r="C76"/>
      <c r="D76"/>
      <c r="E76"/>
      <c r="F76"/>
      <c r="G76"/>
      <c r="H76"/>
      <c r="I76"/>
      <c r="J76"/>
      <c r="K76"/>
      <c r="M76" s="74"/>
      <c r="N76" s="214"/>
      <c r="O76" s="214"/>
      <c r="P76" s="43"/>
      <c r="Q76" s="44"/>
      <c r="R76" s="702"/>
      <c r="S76" s="214"/>
      <c r="T76" s="94"/>
      <c r="U76" s="703"/>
      <c r="V76" s="45"/>
      <c r="W76" s="45"/>
    </row>
    <row r="77" spans="1:27" ht="15" customHeight="1" x14ac:dyDescent="0.25">
      <c r="A77"/>
      <c r="B77"/>
      <c r="C77"/>
      <c r="D77"/>
      <c r="E77"/>
      <c r="F77"/>
      <c r="G77"/>
      <c r="H77"/>
      <c r="I77"/>
      <c r="J77"/>
      <c r="K77"/>
      <c r="M77" s="74"/>
      <c r="N77" s="214"/>
      <c r="O77" s="214"/>
      <c r="P77" s="43"/>
      <c r="Q77" s="44"/>
      <c r="R77" s="702"/>
      <c r="S77" s="214"/>
      <c r="T77" s="94"/>
      <c r="U77" s="703"/>
      <c r="V77" s="45"/>
      <c r="W77" s="45"/>
    </row>
    <row r="78" spans="1:27" ht="15" customHeight="1" x14ac:dyDescent="0.25">
      <c r="A78"/>
      <c r="B78"/>
      <c r="C78"/>
      <c r="D78"/>
      <c r="E78"/>
      <c r="F78"/>
      <c r="G78"/>
      <c r="H78"/>
      <c r="I78"/>
      <c r="J78"/>
      <c r="K78"/>
      <c r="M78" s="74"/>
      <c r="N78" s="214"/>
      <c r="O78" s="214"/>
      <c r="P78" s="43"/>
      <c r="Q78" s="44"/>
      <c r="R78" s="702"/>
      <c r="S78" s="214"/>
      <c r="T78" s="94"/>
      <c r="U78" s="703"/>
      <c r="V78" s="45"/>
      <c r="W78" s="45"/>
    </row>
    <row r="79" spans="1:27" ht="15.75" customHeight="1" x14ac:dyDescent="0.25">
      <c r="A79"/>
      <c r="B79"/>
      <c r="C79"/>
      <c r="D79"/>
      <c r="E79"/>
      <c r="F79"/>
      <c r="G79"/>
      <c r="H79"/>
      <c r="I79"/>
      <c r="J79"/>
      <c r="K79"/>
    </row>
    <row r="80" spans="1:27" ht="14.4" customHeight="1" x14ac:dyDescent="0.25">
      <c r="A80"/>
      <c r="B80"/>
      <c r="C80"/>
      <c r="D80"/>
      <c r="E80"/>
      <c r="F80"/>
      <c r="G80"/>
      <c r="H80"/>
      <c r="I80"/>
      <c r="J80"/>
      <c r="K80"/>
    </row>
    <row r="81" spans="1:36" ht="14.4" customHeight="1" x14ac:dyDescent="0.25">
      <c r="A81"/>
      <c r="B81"/>
      <c r="C81"/>
      <c r="D81"/>
      <c r="E81"/>
      <c r="F81"/>
      <c r="G81"/>
      <c r="H81"/>
      <c r="I81"/>
      <c r="J81"/>
      <c r="K81"/>
      <c r="M81"/>
      <c r="N81"/>
      <c r="O81"/>
      <c r="P81"/>
      <c r="Q81"/>
      <c r="R81"/>
      <c r="S81"/>
      <c r="T81"/>
      <c r="U81"/>
      <c r="V81"/>
      <c r="W81"/>
    </row>
    <row r="82" spans="1:36" ht="15" customHeight="1" x14ac:dyDescent="0.25">
      <c r="A82"/>
      <c r="B82"/>
      <c r="C82"/>
      <c r="D82"/>
      <c r="E82"/>
      <c r="F82"/>
      <c r="G82"/>
      <c r="H82"/>
      <c r="I82"/>
      <c r="J82"/>
      <c r="K82"/>
      <c r="M82"/>
      <c r="N82"/>
      <c r="O82"/>
      <c r="P82"/>
      <c r="Q82"/>
      <c r="R82"/>
      <c r="S82"/>
      <c r="T82"/>
      <c r="U82"/>
      <c r="V82"/>
      <c r="W82"/>
      <c r="AF82"/>
      <c r="AG82"/>
      <c r="AH82"/>
      <c r="AI82"/>
    </row>
    <row r="83" spans="1:36" x14ac:dyDescent="0.25">
      <c r="A83"/>
      <c r="B83"/>
      <c r="C83"/>
      <c r="D83"/>
      <c r="E83"/>
      <c r="F83"/>
      <c r="G83"/>
      <c r="H83"/>
      <c r="I83"/>
      <c r="J83"/>
      <c r="K83"/>
      <c r="M83"/>
      <c r="N83"/>
      <c r="O83"/>
      <c r="P83"/>
      <c r="Q83"/>
      <c r="R83"/>
      <c r="S83"/>
      <c r="T83"/>
      <c r="U83"/>
      <c r="V83"/>
      <c r="W83"/>
      <c r="Y83"/>
      <c r="Z83"/>
      <c r="AA83"/>
      <c r="AB83"/>
      <c r="AC83"/>
      <c r="AD83"/>
      <c r="AE83"/>
      <c r="AF83"/>
      <c r="AG83"/>
      <c r="AH83"/>
      <c r="AI83"/>
    </row>
    <row r="84" spans="1:36" ht="15" customHeight="1" x14ac:dyDescent="0.25">
      <c r="A84"/>
      <c r="B84"/>
      <c r="C84"/>
      <c r="D84"/>
      <c r="E84"/>
      <c r="F84"/>
      <c r="G84"/>
      <c r="H84"/>
      <c r="I84"/>
      <c r="J84"/>
      <c r="K84"/>
      <c r="M84"/>
      <c r="N84"/>
      <c r="O84"/>
      <c r="P84"/>
      <c r="Q84"/>
      <c r="R84"/>
      <c r="S84"/>
      <c r="T84"/>
      <c r="U84"/>
      <c r="V84"/>
      <c r="W84"/>
      <c r="Y84"/>
      <c r="Z84"/>
      <c r="AA84"/>
      <c r="AB84"/>
      <c r="AC84"/>
      <c r="AD84"/>
      <c r="AE84"/>
      <c r="AF84"/>
      <c r="AG84"/>
      <c r="AH84"/>
      <c r="AI84"/>
    </row>
    <row r="85" spans="1:36" ht="15" customHeight="1" x14ac:dyDescent="0.25">
      <c r="A85"/>
      <c r="B85"/>
      <c r="C85"/>
      <c r="D85"/>
      <c r="E85"/>
      <c r="F85"/>
      <c r="G85"/>
      <c r="H85"/>
      <c r="I85"/>
      <c r="J85"/>
      <c r="K85"/>
      <c r="M85"/>
      <c r="N85"/>
      <c r="O85"/>
      <c r="P85"/>
      <c r="Q85"/>
      <c r="R85"/>
      <c r="S85"/>
      <c r="T85"/>
      <c r="U85"/>
      <c r="V85"/>
      <c r="W85"/>
      <c r="Y85"/>
      <c r="Z85"/>
      <c r="AA85"/>
      <c r="AB85"/>
      <c r="AC85"/>
      <c r="AD85"/>
      <c r="AE85"/>
      <c r="AF85"/>
      <c r="AG85"/>
      <c r="AH85"/>
      <c r="AI85"/>
    </row>
    <row r="86" spans="1:36" ht="15" customHeight="1" x14ac:dyDescent="0.25">
      <c r="A86"/>
      <c r="B86"/>
      <c r="C86"/>
      <c r="D86"/>
      <c r="E86"/>
      <c r="F86"/>
      <c r="G86"/>
      <c r="H86"/>
      <c r="I86"/>
      <c r="J86"/>
      <c r="K86"/>
      <c r="M86"/>
      <c r="N86"/>
      <c r="O86"/>
      <c r="P86"/>
      <c r="Q86"/>
      <c r="R86"/>
      <c r="S86"/>
      <c r="T86"/>
      <c r="U86"/>
      <c r="V86"/>
      <c r="W86"/>
      <c r="Y86"/>
      <c r="Z86"/>
      <c r="AA86"/>
      <c r="AB86"/>
      <c r="AC86"/>
      <c r="AD86"/>
      <c r="AE86"/>
      <c r="AF86"/>
      <c r="AG86"/>
      <c r="AH86"/>
      <c r="AI86"/>
    </row>
    <row r="87" spans="1:36" ht="15" customHeight="1" x14ac:dyDescent="0.25">
      <c r="A87"/>
      <c r="B87"/>
      <c r="C87"/>
      <c r="D87"/>
      <c r="E87"/>
      <c r="F87"/>
      <c r="G87"/>
      <c r="H87"/>
      <c r="I87"/>
      <c r="J87"/>
      <c r="K87"/>
      <c r="M87"/>
      <c r="N87"/>
      <c r="O87"/>
      <c r="P87"/>
      <c r="Q87"/>
      <c r="R87"/>
      <c r="S87"/>
      <c r="T87"/>
      <c r="U87"/>
      <c r="V87"/>
      <c r="W87"/>
      <c r="Y87"/>
      <c r="Z87"/>
      <c r="AA87"/>
      <c r="AB87"/>
      <c r="AC87"/>
      <c r="AD87"/>
      <c r="AE87"/>
      <c r="AF87"/>
      <c r="AG87"/>
      <c r="AH87"/>
      <c r="AI87"/>
    </row>
    <row r="88" spans="1:36" ht="15" customHeight="1" x14ac:dyDescent="0.25">
      <c r="A88"/>
      <c r="B88"/>
      <c r="C88"/>
      <c r="D88"/>
      <c r="E88"/>
      <c r="F88"/>
      <c r="G88"/>
      <c r="H88"/>
      <c r="I88"/>
      <c r="J88"/>
      <c r="K88"/>
      <c r="M88"/>
      <c r="N88"/>
      <c r="O88"/>
      <c r="P88"/>
      <c r="Q88"/>
      <c r="R88"/>
      <c r="S88"/>
      <c r="T88"/>
      <c r="U88"/>
      <c r="V88"/>
      <c r="W88"/>
      <c r="Y88"/>
      <c r="Z88"/>
      <c r="AA88"/>
      <c r="AB88"/>
      <c r="AC88"/>
      <c r="AD88"/>
      <c r="AE88"/>
      <c r="AF88"/>
      <c r="AG88"/>
      <c r="AH88"/>
      <c r="AI88"/>
    </row>
    <row r="89" spans="1:36" ht="15" customHeight="1" x14ac:dyDescent="0.25">
      <c r="A89"/>
      <c r="B89"/>
      <c r="C89"/>
      <c r="D89"/>
      <c r="E89"/>
      <c r="F89"/>
      <c r="G89"/>
      <c r="H89"/>
      <c r="I89"/>
      <c r="J89"/>
      <c r="K89"/>
      <c r="M89"/>
      <c r="N89"/>
      <c r="O89"/>
      <c r="P89"/>
      <c r="Q89"/>
      <c r="R89"/>
      <c r="S89"/>
      <c r="T89"/>
      <c r="U89"/>
      <c r="V89"/>
      <c r="W89"/>
      <c r="Y89"/>
      <c r="Z89"/>
      <c r="AA89"/>
      <c r="AB89"/>
      <c r="AC89"/>
      <c r="AD89"/>
      <c r="AE89"/>
      <c r="AF89"/>
      <c r="AG89"/>
      <c r="AH89"/>
      <c r="AI89"/>
    </row>
    <row r="90" spans="1:36" ht="15" customHeight="1" x14ac:dyDescent="0.25">
      <c r="A90"/>
      <c r="B90"/>
      <c r="C90"/>
      <c r="D90"/>
      <c r="E90"/>
      <c r="F90"/>
      <c r="G90"/>
      <c r="H90"/>
      <c r="I90"/>
      <c r="J90"/>
      <c r="K90"/>
      <c r="M90"/>
      <c r="N90"/>
      <c r="O90"/>
      <c r="P90"/>
      <c r="Q90"/>
      <c r="R90"/>
      <c r="S90"/>
      <c r="T90"/>
      <c r="U90"/>
      <c r="V90"/>
      <c r="W90"/>
      <c r="Y90"/>
      <c r="Z90"/>
      <c r="AA90"/>
      <c r="AB90"/>
      <c r="AC90"/>
      <c r="AD90"/>
      <c r="AE90"/>
      <c r="AF90"/>
      <c r="AG90"/>
      <c r="AH90"/>
      <c r="AI90"/>
      <c r="AJ90" s="6"/>
    </row>
    <row r="91" spans="1:36" ht="15" customHeight="1" x14ac:dyDescent="0.25">
      <c r="A91"/>
      <c r="B91"/>
      <c r="C91"/>
      <c r="D91"/>
      <c r="E91"/>
      <c r="F91"/>
      <c r="G91"/>
      <c r="H91"/>
      <c r="I91"/>
      <c r="J91"/>
      <c r="K91"/>
      <c r="L91" s="7"/>
      <c r="M91"/>
      <c r="N91"/>
      <c r="O91"/>
      <c r="P91"/>
      <c r="Q91"/>
      <c r="R91"/>
      <c r="S91"/>
      <c r="T91"/>
      <c r="U91"/>
      <c r="V91"/>
      <c r="W91"/>
      <c r="Y91"/>
      <c r="Z91"/>
      <c r="AA91"/>
      <c r="AB91"/>
      <c r="AC91"/>
      <c r="AD91"/>
      <c r="AE91"/>
      <c r="AF91" s="705"/>
      <c r="AG91" s="705"/>
      <c r="AH91" s="705"/>
      <c r="AI91" s="705"/>
      <c r="AJ91" s="6"/>
    </row>
    <row r="92" spans="1:36" ht="15" customHeight="1" x14ac:dyDescent="0.25">
      <c r="A92"/>
      <c r="B92"/>
      <c r="C92"/>
      <c r="D92"/>
      <c r="E92"/>
      <c r="F92"/>
      <c r="G92"/>
      <c r="H92"/>
      <c r="I92"/>
      <c r="J92"/>
      <c r="K92"/>
      <c r="M92"/>
      <c r="N92"/>
      <c r="O92"/>
      <c r="P92"/>
      <c r="Q92"/>
      <c r="R92"/>
      <c r="S92"/>
      <c r="T92"/>
      <c r="U92"/>
      <c r="V92"/>
      <c r="W92"/>
      <c r="Y92" s="705"/>
      <c r="Z92" s="705"/>
      <c r="AA92" s="705"/>
      <c r="AB92" s="705"/>
      <c r="AC92" s="705"/>
      <c r="AD92" s="705"/>
      <c r="AE92" s="705"/>
      <c r="AF92" s="705"/>
      <c r="AG92" s="705"/>
      <c r="AH92" s="705"/>
      <c r="AI92" s="705"/>
      <c r="AJ92" s="6"/>
    </row>
    <row r="93" spans="1:36" ht="15" customHeight="1" x14ac:dyDescent="0.25">
      <c r="A93"/>
      <c r="B93"/>
      <c r="C93"/>
      <c r="D93"/>
      <c r="E93"/>
      <c r="F93"/>
      <c r="G93"/>
      <c r="H93"/>
      <c r="I93"/>
      <c r="J93"/>
      <c r="K93"/>
      <c r="M93"/>
      <c r="N93"/>
      <c r="O93"/>
      <c r="P93"/>
      <c r="Q93"/>
      <c r="R93"/>
      <c r="S93"/>
      <c r="T93"/>
      <c r="U93"/>
      <c r="V93"/>
      <c r="W93"/>
      <c r="Y93" s="705"/>
      <c r="Z93" s="705"/>
      <c r="AA93" s="705"/>
      <c r="AB93" s="705"/>
      <c r="AC93" s="705"/>
      <c r="AD93" s="705"/>
      <c r="AE93" s="705"/>
      <c r="AF93" s="705"/>
      <c r="AG93" s="705"/>
      <c r="AH93" s="705"/>
      <c r="AI93" s="705"/>
      <c r="AJ93" s="6"/>
    </row>
    <row r="94" spans="1:36" s="8" customFormat="1" ht="15" customHeight="1" x14ac:dyDescent="0.25">
      <c r="A94"/>
      <c r="B94"/>
      <c r="C94"/>
      <c r="D94"/>
      <c r="E94"/>
      <c r="F94"/>
      <c r="G94"/>
      <c r="H94"/>
      <c r="I94"/>
      <c r="J94"/>
      <c r="K94"/>
      <c r="M94"/>
      <c r="N94"/>
      <c r="O94"/>
      <c r="P94"/>
      <c r="Q94"/>
      <c r="R94"/>
      <c r="S94"/>
      <c r="T94"/>
      <c r="U94"/>
      <c r="V94"/>
      <c r="W94"/>
      <c r="X94" s="76"/>
      <c r="Y94" s="705"/>
      <c r="Z94" s="705"/>
      <c r="AA94" s="705"/>
      <c r="AB94" s="705"/>
      <c r="AC94" s="705"/>
      <c r="AD94" s="705"/>
      <c r="AE94" s="705"/>
      <c r="AF94" s="705"/>
      <c r="AG94" s="705"/>
      <c r="AH94" s="705"/>
      <c r="AI94" s="705"/>
      <c r="AJ94" s="9"/>
    </row>
    <row r="95" spans="1:36" ht="15" customHeight="1" x14ac:dyDescent="0.25">
      <c r="A95"/>
      <c r="B95"/>
      <c r="C95"/>
      <c r="D95"/>
      <c r="E95"/>
      <c r="F95"/>
      <c r="G95"/>
      <c r="H95"/>
      <c r="I95"/>
      <c r="J95"/>
      <c r="K95"/>
      <c r="M95"/>
      <c r="N95"/>
      <c r="O95"/>
      <c r="P95"/>
      <c r="Q95"/>
      <c r="R95"/>
      <c r="S95"/>
      <c r="T95"/>
      <c r="U95"/>
      <c r="V95"/>
      <c r="W95"/>
      <c r="Y95" s="705"/>
      <c r="Z95" s="705"/>
      <c r="AA95" s="705"/>
      <c r="AB95" s="705"/>
      <c r="AC95" s="705"/>
      <c r="AD95" s="705"/>
      <c r="AE95" s="705"/>
      <c r="AF95" s="705"/>
      <c r="AG95" s="705"/>
      <c r="AH95" s="705"/>
      <c r="AI95" s="705"/>
      <c r="AJ95" s="6"/>
    </row>
    <row r="96" spans="1:36" ht="15" customHeight="1" x14ac:dyDescent="0.25">
      <c r="A96"/>
      <c r="B96"/>
      <c r="C96"/>
      <c r="D96"/>
      <c r="E96"/>
      <c r="F96"/>
      <c r="G96"/>
      <c r="H96"/>
      <c r="I96"/>
      <c r="J96"/>
      <c r="K96"/>
      <c r="M96"/>
      <c r="N96"/>
      <c r="O96"/>
      <c r="P96"/>
      <c r="Q96"/>
      <c r="R96"/>
      <c r="S96"/>
      <c r="T96"/>
      <c r="U96"/>
      <c r="V96"/>
      <c r="W96"/>
      <c r="X96" s="8"/>
      <c r="Y96" s="705"/>
      <c r="Z96" s="705"/>
      <c r="AA96" s="705"/>
      <c r="AB96" s="705"/>
      <c r="AC96" s="705"/>
      <c r="AD96" s="705"/>
      <c r="AE96" s="705"/>
      <c r="AF96" s="705"/>
      <c r="AG96" s="705"/>
      <c r="AH96" s="705"/>
      <c r="AI96" s="705"/>
      <c r="AJ96" s="6"/>
    </row>
    <row r="97" spans="1:36" ht="15" customHeight="1" x14ac:dyDescent="0.25">
      <c r="A97"/>
      <c r="B97"/>
      <c r="C97"/>
      <c r="D97"/>
      <c r="E97"/>
      <c r="F97"/>
      <c r="G97"/>
      <c r="H97"/>
      <c r="I97"/>
      <c r="J97"/>
      <c r="K97"/>
      <c r="M97"/>
      <c r="N97"/>
      <c r="O97"/>
      <c r="P97"/>
      <c r="Q97"/>
      <c r="R97"/>
      <c r="S97"/>
      <c r="T97"/>
      <c r="U97"/>
      <c r="V97"/>
      <c r="W97"/>
      <c r="Y97" s="705"/>
      <c r="Z97" s="705"/>
      <c r="AA97" s="705"/>
      <c r="AB97" s="705"/>
      <c r="AC97" s="705"/>
      <c r="AD97" s="705"/>
      <c r="AE97" s="705"/>
      <c r="AF97" s="705"/>
      <c r="AG97" s="705"/>
      <c r="AH97" s="705"/>
      <c r="AI97" s="705"/>
      <c r="AJ97" s="6"/>
    </row>
    <row r="98" spans="1:36" ht="15" customHeight="1" x14ac:dyDescent="0.25">
      <c r="A98"/>
      <c r="B98"/>
      <c r="C98"/>
      <c r="D98"/>
      <c r="E98"/>
      <c r="F98"/>
      <c r="G98"/>
      <c r="H98"/>
      <c r="I98"/>
      <c r="J98"/>
      <c r="K98"/>
      <c r="M98"/>
      <c r="N98"/>
      <c r="O98"/>
      <c r="P98"/>
      <c r="Q98"/>
      <c r="R98"/>
      <c r="S98"/>
      <c r="T98"/>
      <c r="U98"/>
      <c r="V98"/>
      <c r="W98"/>
      <c r="X98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 ht="15" customHeight="1" x14ac:dyDescent="0.25">
      <c r="A99"/>
      <c r="B99"/>
      <c r="C99"/>
      <c r="D99"/>
      <c r="E99"/>
      <c r="F99"/>
      <c r="G99"/>
      <c r="H99"/>
      <c r="I99"/>
      <c r="J99"/>
      <c r="K99"/>
      <c r="M99"/>
      <c r="N99"/>
      <c r="O99"/>
      <c r="P99"/>
      <c r="Q99"/>
      <c r="R99"/>
      <c r="S99"/>
      <c r="T99"/>
      <c r="U99"/>
      <c r="V99"/>
      <c r="W99"/>
      <c r="X99"/>
    </row>
    <row r="100" spans="1:36" ht="15" customHeight="1" x14ac:dyDescent="0.25">
      <c r="A100"/>
      <c r="B100"/>
      <c r="C100"/>
      <c r="D100"/>
      <c r="E100"/>
      <c r="F100"/>
      <c r="G100"/>
      <c r="H100"/>
      <c r="I100"/>
      <c r="J100"/>
      <c r="K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36" ht="15" customHeight="1" x14ac:dyDescent="0.25">
      <c r="A101"/>
      <c r="B101"/>
      <c r="C101"/>
      <c r="D101"/>
      <c r="E101"/>
      <c r="F101"/>
      <c r="G101"/>
      <c r="H101"/>
      <c r="I101"/>
      <c r="J101"/>
      <c r="K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36" ht="15" customHeight="1" x14ac:dyDescent="0.25">
      <c r="A102"/>
      <c r="B102"/>
      <c r="C102"/>
      <c r="D102"/>
      <c r="E102"/>
      <c r="F102"/>
      <c r="G102"/>
      <c r="H102"/>
      <c r="I102"/>
      <c r="J102"/>
      <c r="K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36" ht="15" customHeight="1" x14ac:dyDescent="0.25">
      <c r="A103"/>
      <c r="B103"/>
      <c r="C103"/>
      <c r="D103"/>
      <c r="E103"/>
      <c r="F103"/>
      <c r="G103"/>
      <c r="H103"/>
      <c r="I103"/>
      <c r="J103"/>
      <c r="K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36" ht="15" customHeight="1" x14ac:dyDescent="0.25">
      <c r="A104"/>
      <c r="B104"/>
      <c r="C104"/>
      <c r="D104"/>
      <c r="E104"/>
      <c r="F104"/>
      <c r="G104"/>
      <c r="H104"/>
      <c r="I104"/>
      <c r="J104"/>
      <c r="K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36" ht="15" customHeight="1" x14ac:dyDescent="0.25">
      <c r="A105"/>
      <c r="B105"/>
      <c r="C105"/>
      <c r="D105"/>
      <c r="E105"/>
      <c r="F105"/>
      <c r="G105"/>
      <c r="H105"/>
      <c r="I105"/>
      <c r="J105"/>
      <c r="K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36" ht="15" customHeight="1" x14ac:dyDescent="0.25">
      <c r="A106"/>
      <c r="B106"/>
      <c r="C106"/>
      <c r="D106"/>
      <c r="E106"/>
      <c r="F106"/>
      <c r="G106"/>
      <c r="H106"/>
      <c r="I106"/>
      <c r="J106"/>
      <c r="K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36" ht="30" customHeight="1" x14ac:dyDescent="0.25">
      <c r="A107"/>
      <c r="B107"/>
      <c r="C107"/>
      <c r="D107"/>
      <c r="E107"/>
      <c r="F107"/>
      <c r="G107"/>
      <c r="H107"/>
      <c r="I107"/>
      <c r="J107"/>
      <c r="K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36" ht="30" customHeight="1" x14ac:dyDescent="0.25">
      <c r="A108"/>
      <c r="B108"/>
      <c r="C108"/>
      <c r="D108"/>
      <c r="E108"/>
      <c r="F108"/>
      <c r="G108"/>
      <c r="H108"/>
      <c r="I108"/>
      <c r="J108"/>
      <c r="K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36" ht="30" customHeight="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36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36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36" x14ac:dyDescent="0.25">
      <c r="A112"/>
      <c r="B112"/>
      <c r="C112"/>
      <c r="D112"/>
      <c r="E112"/>
      <c r="F112"/>
      <c r="G112"/>
      <c r="H112"/>
      <c r="I112"/>
      <c r="J112"/>
      <c r="K112"/>
    </row>
  </sheetData>
  <mergeCells count="19">
    <mergeCell ref="D6:F6"/>
    <mergeCell ref="F7:F8"/>
    <mergeCell ref="P6:R6"/>
    <mergeCell ref="R7:R8"/>
    <mergeCell ref="A2:C3"/>
    <mergeCell ref="AF6:AI6"/>
    <mergeCell ref="AB7:AB8"/>
    <mergeCell ref="AC7:AC8"/>
    <mergeCell ref="AF7:AG7"/>
    <mergeCell ref="T6:W6"/>
    <mergeCell ref="P7:P8"/>
    <mergeCell ref="Q7:Q8"/>
    <mergeCell ref="T7:U7"/>
    <mergeCell ref="D7:D8"/>
    <mergeCell ref="E7:E8"/>
    <mergeCell ref="H7:I7"/>
    <mergeCell ref="H6:K6"/>
    <mergeCell ref="AB6:AD6"/>
    <mergeCell ref="AD7:AD8"/>
  </mergeCells>
  <hyperlinks>
    <hyperlink ref="U8" r:id="rId1" display="&quot;&lt;---------- to &quot;@October ----------&gt;" xr:uid="{00000000-0004-0000-0300-000000000000}"/>
    <hyperlink ref="AG8" r:id="rId2" display="&quot;&lt;---------- to &quot;@October ----------&gt;" xr:uid="{00000000-0004-0000-0300-000001000000}"/>
  </hyperlinks>
  <pageMargins left="0.25" right="0.25" top="0.75" bottom="0.75" header="0.3" footer="0.3"/>
  <pageSetup paperSize="8" scale="41" orientation="landscape" horizontalDpi="4294967293" verticalDpi="3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Z117"/>
  <sheetViews>
    <sheetView showGridLines="0" tabSelected="1" zoomScale="80" zoomScaleNormal="80" zoomScaleSheetLayoutView="50" workbookViewId="0">
      <pane xSplit="1" topLeftCell="B1" activePane="topRight" state="frozen"/>
      <selection pane="topRight" activeCell="K98" sqref="K98"/>
    </sheetView>
  </sheetViews>
  <sheetFormatPr defaultColWidth="9.109375" defaultRowHeight="14.4" x14ac:dyDescent="0.25"/>
  <cols>
    <col min="1" max="1" width="45.21875" style="76" customWidth="1"/>
    <col min="2" max="3" width="1.6640625" style="76" customWidth="1"/>
    <col min="4" max="4" width="12" style="221" customWidth="1"/>
    <col min="5" max="5" width="12.6640625" style="76" customWidth="1"/>
    <col min="6" max="6" width="8.33203125" style="76" customWidth="1"/>
    <col min="7" max="7" width="9.109375" style="71" customWidth="1"/>
    <col min="8" max="8" width="4.33203125" style="76" customWidth="1"/>
    <col min="9" max="12" width="12.6640625" style="95" customWidth="1"/>
    <col min="13" max="13" width="1.6640625" style="80" customWidth="1"/>
    <col min="14" max="14" width="11.6640625" style="69" customWidth="1"/>
    <col min="15" max="15" width="12" style="127" customWidth="1"/>
    <col min="16" max="17" width="9.6640625" style="127" customWidth="1"/>
    <col min="18" max="18" width="2.5546875" style="127" customWidth="1"/>
    <col min="19" max="21" width="9.109375" style="127"/>
    <col min="22" max="22" width="11.88671875" style="127" customWidth="1"/>
    <col min="23" max="23" width="3.5546875" style="76" customWidth="1"/>
    <col min="24" max="24" width="11.44140625" style="76" customWidth="1"/>
    <col min="25" max="25" width="12.33203125" style="76" customWidth="1"/>
    <col min="26" max="26" width="10.44140625" style="76" customWidth="1"/>
    <col min="27" max="27" width="11" customWidth="1"/>
    <col min="28" max="28" width="4.33203125" style="76" customWidth="1"/>
    <col min="29" max="30" width="9.109375" style="76"/>
    <col min="31" max="31" width="13" style="76" customWidth="1"/>
    <col min="32" max="32" width="12.88671875" style="76" customWidth="1"/>
    <col min="33" max="33" width="3.6640625" style="76" customWidth="1"/>
    <col min="34" max="34" width="12.33203125" style="76" customWidth="1"/>
    <col min="35" max="35" width="11.88671875" style="76" customWidth="1"/>
    <col min="36" max="37" width="9.6640625" style="76" customWidth="1"/>
    <col min="38" max="38" width="4.33203125" style="76" customWidth="1"/>
    <col min="39" max="41" width="9.109375" style="76"/>
    <col min="42" max="42" width="12" style="76" customWidth="1"/>
    <col min="43" max="43" width="5.109375" style="76" customWidth="1"/>
    <col min="44" max="44" width="12" style="76" customWidth="1"/>
    <col min="45" max="45" width="11.33203125" style="76" customWidth="1"/>
    <col min="46" max="46" width="7.6640625" style="76" customWidth="1"/>
    <col min="47" max="47" width="10.33203125" style="292" customWidth="1"/>
    <col min="48" max="48" width="2.6640625" style="76" customWidth="1"/>
    <col min="49" max="51" width="9.109375" style="76"/>
    <col min="52" max="52" width="11.6640625" style="76" customWidth="1"/>
    <col min="53" max="16384" width="9.109375" style="76"/>
  </cols>
  <sheetData>
    <row r="1" spans="1:52" ht="23.4" x14ac:dyDescent="0.35">
      <c r="A1" s="206" t="s">
        <v>139</v>
      </c>
      <c r="B1" s="10"/>
      <c r="C1" s="10"/>
      <c r="D1" s="264" t="s">
        <v>117</v>
      </c>
      <c r="E1" s="131"/>
      <c r="F1" s="131"/>
      <c r="G1" s="132"/>
      <c r="H1" s="131"/>
      <c r="I1" s="133"/>
      <c r="J1" s="133"/>
      <c r="K1" s="133"/>
      <c r="L1" s="134"/>
      <c r="M1" s="82"/>
      <c r="N1" s="273" t="s">
        <v>119</v>
      </c>
      <c r="O1" s="222"/>
      <c r="P1" s="223"/>
      <c r="Q1" s="224"/>
      <c r="R1" s="225"/>
      <c r="S1" s="226"/>
      <c r="T1" s="226"/>
      <c r="U1" s="226"/>
      <c r="V1" s="227"/>
      <c r="X1" s="199" t="s">
        <v>120</v>
      </c>
      <c r="Y1" s="131"/>
      <c r="Z1" s="191"/>
      <c r="AA1" s="665"/>
      <c r="AB1" s="191"/>
      <c r="AC1" s="192"/>
      <c r="AD1" s="192"/>
      <c r="AE1" s="192"/>
      <c r="AF1" s="193"/>
      <c r="AH1" s="199" t="s">
        <v>121</v>
      </c>
      <c r="AI1" s="131"/>
      <c r="AJ1" s="131"/>
      <c r="AK1" s="131"/>
      <c r="AL1" s="293"/>
      <c r="AM1" s="294"/>
      <c r="AN1" s="294"/>
      <c r="AO1" s="294"/>
      <c r="AP1" s="295"/>
      <c r="AR1" s="199" t="s">
        <v>122</v>
      </c>
      <c r="AS1" s="131"/>
      <c r="AT1" s="131"/>
      <c r="AU1" s="395"/>
      <c r="AV1" s="132"/>
      <c r="AW1" s="294"/>
      <c r="AX1" s="294"/>
      <c r="AY1" s="294"/>
      <c r="AZ1" s="295"/>
    </row>
    <row r="2" spans="1:52" ht="15" customHeight="1" x14ac:dyDescent="0.3">
      <c r="A2" s="824" t="s">
        <v>362</v>
      </c>
      <c r="B2" s="824"/>
      <c r="C2" s="824"/>
      <c r="D2" s="208"/>
      <c r="E2" s="6"/>
      <c r="F2" s="6"/>
      <c r="G2" s="136"/>
      <c r="H2" s="6"/>
      <c r="I2" s="137"/>
      <c r="J2" s="137"/>
      <c r="K2" s="137"/>
      <c r="L2" s="138"/>
      <c r="M2" s="83"/>
      <c r="N2" s="266"/>
      <c r="O2" s="228"/>
      <c r="P2" s="228"/>
      <c r="Q2" s="229"/>
      <c r="R2" s="228"/>
      <c r="S2" s="230"/>
      <c r="T2" s="230"/>
      <c r="U2" s="230"/>
      <c r="V2" s="231"/>
      <c r="X2" s="135"/>
      <c r="Y2" s="117"/>
      <c r="Z2" s="117"/>
      <c r="AA2" s="483"/>
      <c r="AB2" s="117"/>
      <c r="AC2" s="194"/>
      <c r="AD2" s="194"/>
      <c r="AE2" s="194"/>
      <c r="AF2" s="195"/>
      <c r="AH2" s="169"/>
      <c r="AI2" s="117"/>
      <c r="AJ2" s="117"/>
      <c r="AK2" s="117"/>
      <c r="AL2" s="117"/>
      <c r="AM2" s="194"/>
      <c r="AN2" s="194"/>
      <c r="AO2" s="194"/>
      <c r="AP2" s="195"/>
      <c r="AR2" s="135"/>
      <c r="AS2" s="117"/>
      <c r="AT2" s="117"/>
      <c r="AU2" s="400"/>
      <c r="AV2" s="170"/>
      <c r="AW2" s="194"/>
      <c r="AX2" s="194"/>
      <c r="AY2" s="194"/>
      <c r="AZ2" s="195"/>
    </row>
    <row r="3" spans="1:52" s="86" customFormat="1" ht="21" customHeight="1" x14ac:dyDescent="0.4">
      <c r="A3" s="824"/>
      <c r="B3" s="824"/>
      <c r="C3" s="824"/>
      <c r="D3" s="207" t="s">
        <v>138</v>
      </c>
      <c r="E3" s="814" t="s">
        <v>280</v>
      </c>
      <c r="F3" s="814"/>
      <c r="G3" s="814"/>
      <c r="H3" s="139"/>
      <c r="I3" s="800">
        <v>2021</v>
      </c>
      <c r="J3" s="801"/>
      <c r="K3" s="801"/>
      <c r="L3" s="826"/>
      <c r="M3" s="87"/>
      <c r="N3" s="301" t="s">
        <v>138</v>
      </c>
      <c r="O3" s="814" t="s">
        <v>280</v>
      </c>
      <c r="P3" s="814"/>
      <c r="Q3" s="814"/>
      <c r="R3" s="232"/>
      <c r="S3" s="800">
        <v>2021</v>
      </c>
      <c r="T3" s="801"/>
      <c r="U3" s="801"/>
      <c r="V3" s="802"/>
      <c r="X3" s="301" t="s">
        <v>138</v>
      </c>
      <c r="Y3" s="814" t="s">
        <v>280</v>
      </c>
      <c r="Z3" s="814"/>
      <c r="AA3" s="814"/>
      <c r="AB3" s="196"/>
      <c r="AC3" s="800">
        <v>2021</v>
      </c>
      <c r="AD3" s="801"/>
      <c r="AE3" s="801"/>
      <c r="AF3" s="802"/>
      <c r="AH3" s="301" t="s">
        <v>138</v>
      </c>
      <c r="AI3" s="814" t="s">
        <v>280</v>
      </c>
      <c r="AJ3" s="814"/>
      <c r="AK3" s="814"/>
      <c r="AL3" s="196"/>
      <c r="AM3" s="800">
        <v>2021</v>
      </c>
      <c r="AN3" s="801"/>
      <c r="AO3" s="801"/>
      <c r="AP3" s="802"/>
      <c r="AR3" s="301" t="s">
        <v>138</v>
      </c>
      <c r="AS3" s="814" t="s">
        <v>280</v>
      </c>
      <c r="AT3" s="814"/>
      <c r="AU3" s="814"/>
      <c r="AV3" s="122"/>
      <c r="AW3" s="800">
        <v>2021</v>
      </c>
      <c r="AX3" s="801"/>
      <c r="AY3" s="801"/>
      <c r="AZ3" s="802"/>
    </row>
    <row r="4" spans="1:52" s="9" customFormat="1" ht="15" customHeight="1" x14ac:dyDescent="0.25">
      <c r="D4" s="208"/>
      <c r="E4" s="794" t="s">
        <v>279</v>
      </c>
      <c r="F4" s="796" t="s">
        <v>33</v>
      </c>
      <c r="G4" s="806" t="s">
        <v>276</v>
      </c>
      <c r="I4" s="798" t="s">
        <v>101</v>
      </c>
      <c r="J4" s="799"/>
      <c r="K4" s="112" t="s">
        <v>82</v>
      </c>
      <c r="L4" s="140" t="s">
        <v>76</v>
      </c>
      <c r="M4" s="75"/>
      <c r="N4" s="265"/>
      <c r="O4" s="794" t="s">
        <v>279</v>
      </c>
      <c r="P4" s="796" t="s">
        <v>33</v>
      </c>
      <c r="Q4" s="805" t="s">
        <v>276</v>
      </c>
      <c r="R4" s="233"/>
      <c r="S4" s="811" t="s">
        <v>101</v>
      </c>
      <c r="T4" s="812"/>
      <c r="U4" s="234" t="s">
        <v>82</v>
      </c>
      <c r="V4" s="235" t="s">
        <v>76</v>
      </c>
      <c r="X4" s="274"/>
      <c r="Y4" s="794" t="s">
        <v>279</v>
      </c>
      <c r="Z4" s="796" t="s">
        <v>33</v>
      </c>
      <c r="AA4" s="805" t="s">
        <v>276</v>
      </c>
      <c r="AC4" s="798" t="s">
        <v>101</v>
      </c>
      <c r="AD4" s="799"/>
      <c r="AE4" s="112" t="s">
        <v>82</v>
      </c>
      <c r="AF4" s="140" t="s">
        <v>76</v>
      </c>
      <c r="AH4" s="274"/>
      <c r="AI4" s="794" t="s">
        <v>279</v>
      </c>
      <c r="AJ4" s="796" t="s">
        <v>33</v>
      </c>
      <c r="AK4" s="805" t="s">
        <v>276</v>
      </c>
      <c r="AM4" s="798" t="s">
        <v>101</v>
      </c>
      <c r="AN4" s="799"/>
      <c r="AO4" s="112" t="s">
        <v>82</v>
      </c>
      <c r="AP4" s="140" t="s">
        <v>76</v>
      </c>
      <c r="AR4" s="274"/>
      <c r="AS4" s="794" t="s">
        <v>279</v>
      </c>
      <c r="AT4" s="796" t="s">
        <v>33</v>
      </c>
      <c r="AU4" s="805" t="s">
        <v>276</v>
      </c>
      <c r="AV4" s="75"/>
      <c r="AW4" s="798" t="s">
        <v>101</v>
      </c>
      <c r="AX4" s="799"/>
      <c r="AY4" s="112" t="s">
        <v>82</v>
      </c>
      <c r="AZ4" s="140" t="s">
        <v>76</v>
      </c>
    </row>
    <row r="5" spans="1:52" s="9" customFormat="1" ht="19.5" customHeight="1" x14ac:dyDescent="0.25">
      <c r="D5" s="208"/>
      <c r="E5" s="795"/>
      <c r="F5" s="797"/>
      <c r="G5" s="805"/>
      <c r="I5" s="102" t="s">
        <v>100</v>
      </c>
      <c r="J5" s="142" t="s">
        <v>130</v>
      </c>
      <c r="K5" s="168" t="str">
        <f>Summary!$H$31</f>
        <v>November</v>
      </c>
      <c r="L5" s="143" t="s">
        <v>131</v>
      </c>
      <c r="M5" s="113"/>
      <c r="N5" s="267"/>
      <c r="O5" s="795"/>
      <c r="P5" s="797"/>
      <c r="Q5" s="805"/>
      <c r="R5" s="233"/>
      <c r="S5" s="237" t="s">
        <v>100</v>
      </c>
      <c r="T5" s="238" t="s">
        <v>130</v>
      </c>
      <c r="U5" s="393" t="str">
        <f>Summary!$H$31</f>
        <v>November</v>
      </c>
      <c r="V5" s="239" t="s">
        <v>131</v>
      </c>
      <c r="X5" s="274"/>
      <c r="Y5" s="795"/>
      <c r="Z5" s="797"/>
      <c r="AA5" s="805"/>
      <c r="AC5" s="102" t="s">
        <v>100</v>
      </c>
      <c r="AD5" s="142" t="s">
        <v>130</v>
      </c>
      <c r="AE5" s="393" t="str">
        <f>Summary!$H$31</f>
        <v>November</v>
      </c>
      <c r="AF5" s="143" t="s">
        <v>131</v>
      </c>
      <c r="AH5" s="274"/>
      <c r="AI5" s="795"/>
      <c r="AJ5" s="797"/>
      <c r="AK5" s="805"/>
      <c r="AM5" s="102" t="s">
        <v>100</v>
      </c>
      <c r="AN5" s="142" t="s">
        <v>130</v>
      </c>
      <c r="AO5" s="393" t="str">
        <f>Summary!$H$31</f>
        <v>November</v>
      </c>
      <c r="AP5" s="143" t="s">
        <v>131</v>
      </c>
      <c r="AR5" s="274"/>
      <c r="AS5" s="795"/>
      <c r="AT5" s="797"/>
      <c r="AU5" s="805"/>
      <c r="AV5" s="141"/>
      <c r="AW5" s="102" t="s">
        <v>100</v>
      </c>
      <c r="AX5" s="142" t="s">
        <v>130</v>
      </c>
      <c r="AY5" s="393" t="str">
        <f>Summary!$H$31</f>
        <v>November</v>
      </c>
      <c r="AZ5" s="143" t="s">
        <v>131</v>
      </c>
    </row>
    <row r="6" spans="1:52" s="100" customFormat="1" x14ac:dyDescent="0.25">
      <c r="D6" s="209"/>
      <c r="I6" s="141"/>
      <c r="J6" s="141"/>
      <c r="K6" s="141"/>
      <c r="L6" s="144"/>
      <c r="M6" s="93"/>
      <c r="N6" s="268"/>
      <c r="O6" s="234"/>
      <c r="P6" s="234"/>
      <c r="Q6" s="234"/>
      <c r="R6" s="234"/>
      <c r="S6" s="236"/>
      <c r="T6" s="236"/>
      <c r="U6" s="236"/>
      <c r="V6" s="240"/>
      <c r="X6" s="275"/>
      <c r="AA6" s="483"/>
      <c r="AC6" s="141"/>
      <c r="AD6" s="141"/>
      <c r="AE6" s="141"/>
      <c r="AF6" s="144"/>
      <c r="AH6" s="275"/>
      <c r="AM6" s="141"/>
      <c r="AN6" s="141"/>
      <c r="AO6" s="141"/>
      <c r="AP6" s="144"/>
      <c r="AR6" s="275"/>
      <c r="AU6" s="651"/>
      <c r="AW6" s="141"/>
      <c r="AX6" s="141"/>
      <c r="AY6" s="141"/>
      <c r="AZ6" s="144"/>
    </row>
    <row r="7" spans="1:52" x14ac:dyDescent="0.3">
      <c r="A7" s="2" t="s">
        <v>15</v>
      </c>
      <c r="B7" s="30"/>
      <c r="C7" s="30"/>
      <c r="D7" s="210"/>
      <c r="E7" s="146"/>
      <c r="F7" s="145"/>
      <c r="G7" s="145"/>
      <c r="H7" s="146"/>
      <c r="I7" s="145"/>
      <c r="J7" s="145"/>
      <c r="K7" s="145"/>
      <c r="L7" s="147"/>
      <c r="M7" s="78"/>
      <c r="N7" s="269"/>
      <c r="O7" s="241"/>
      <c r="P7" s="228"/>
      <c r="Q7" s="229"/>
      <c r="R7" s="241"/>
      <c r="S7" s="242"/>
      <c r="T7" s="242"/>
      <c r="U7" s="228"/>
      <c r="V7" s="243"/>
      <c r="X7" s="274"/>
      <c r="Y7" s="180"/>
      <c r="Z7" s="180"/>
      <c r="AA7" s="483"/>
      <c r="AB7" s="180"/>
      <c r="AC7" s="160"/>
      <c r="AD7" s="160"/>
      <c r="AE7" s="180"/>
      <c r="AF7" s="197"/>
      <c r="AH7" s="274"/>
      <c r="AI7" s="180"/>
      <c r="AJ7" s="180"/>
      <c r="AK7" s="180"/>
      <c r="AL7" s="180"/>
      <c r="AM7" s="160"/>
      <c r="AN7" s="160"/>
      <c r="AO7" s="180"/>
      <c r="AP7" s="197"/>
      <c r="AR7" s="274"/>
      <c r="AS7" s="180"/>
      <c r="AT7" s="180"/>
      <c r="AU7" s="652"/>
      <c r="AV7" s="296"/>
      <c r="AW7" s="160"/>
      <c r="AX7" s="160"/>
      <c r="AY7" s="180"/>
      <c r="AZ7" s="197"/>
    </row>
    <row r="8" spans="1:52" ht="17.25" customHeight="1" x14ac:dyDescent="0.3">
      <c r="A8" s="3" t="s">
        <v>16</v>
      </c>
      <c r="B8" s="32"/>
      <c r="C8" s="32"/>
      <c r="D8" s="210">
        <v>5000</v>
      </c>
      <c r="E8" s="200">
        <f>F8-I8</f>
        <v>31</v>
      </c>
      <c r="F8" s="149">
        <v>607</v>
      </c>
      <c r="G8" s="639">
        <f>+E8/I8</f>
        <v>5.3819444444444448E-2</v>
      </c>
      <c r="H8" s="66"/>
      <c r="I8" s="150">
        <v>576</v>
      </c>
      <c r="J8" s="151">
        <f>I8/12*Summary!$G$31</f>
        <v>528</v>
      </c>
      <c r="K8" s="152">
        <v>536.48</v>
      </c>
      <c r="L8" s="153">
        <f>J8-K8</f>
        <v>-8.4800000000000182</v>
      </c>
      <c r="M8" s="79"/>
      <c r="N8" s="216">
        <v>5500</v>
      </c>
      <c r="O8" s="244">
        <f>P8-S8</f>
        <v>57</v>
      </c>
      <c r="P8" s="245">
        <v>1145</v>
      </c>
      <c r="Q8" s="639">
        <f>+O8/S8</f>
        <v>5.2389705882352942E-2</v>
      </c>
      <c r="R8" s="246"/>
      <c r="S8" s="242">
        <v>1088</v>
      </c>
      <c r="T8" s="247">
        <f>S8/12*Summary!$G$31</f>
        <v>997.33333333333337</v>
      </c>
      <c r="U8" s="248">
        <v>1012.74</v>
      </c>
      <c r="V8" s="249">
        <f>T8-U8</f>
        <v>-15.406666666666638</v>
      </c>
      <c r="X8" s="274">
        <v>5750</v>
      </c>
      <c r="Y8" s="200">
        <f>Z8-AC8</f>
        <v>44</v>
      </c>
      <c r="Z8" s="174">
        <v>876</v>
      </c>
      <c r="AA8" s="639">
        <f>+Y8/AC8</f>
        <v>5.2884615384615384E-2</v>
      </c>
      <c r="AB8" s="198"/>
      <c r="AC8" s="150">
        <v>832</v>
      </c>
      <c r="AD8" s="151">
        <f>AC8/12*Summary!$G$31</f>
        <v>762.66666666666663</v>
      </c>
      <c r="AE8" s="152">
        <v>830.74</v>
      </c>
      <c r="AF8" s="153">
        <f>AD8-AE8</f>
        <v>-68.07333333333338</v>
      </c>
      <c r="AH8" s="274">
        <v>6000</v>
      </c>
      <c r="AI8" s="200">
        <f>AJ8-AM8</f>
        <v>59</v>
      </c>
      <c r="AJ8" s="149">
        <v>1164</v>
      </c>
      <c r="AK8" s="639">
        <f>+AI8/AM8</f>
        <v>5.3393665158371038E-2</v>
      </c>
      <c r="AL8" s="198"/>
      <c r="AM8" s="150">
        <v>1105</v>
      </c>
      <c r="AN8" s="151">
        <f>AM8/12*Summary!$G$31</f>
        <v>1012.9166666666666</v>
      </c>
      <c r="AO8" s="152">
        <v>1029.1199999999999</v>
      </c>
      <c r="AP8" s="153">
        <f>AN8-AO8</f>
        <v>-16.203333333333262</v>
      </c>
      <c r="AR8" s="274">
        <v>6250</v>
      </c>
      <c r="AS8" s="200">
        <f>AT8-AW8</f>
        <v>46</v>
      </c>
      <c r="AT8" s="149">
        <v>926</v>
      </c>
      <c r="AU8" s="639">
        <f>+AS8/AW8</f>
        <v>5.2272727272727269E-2</v>
      </c>
      <c r="AV8" s="150"/>
      <c r="AW8" s="150">
        <v>880</v>
      </c>
      <c r="AX8" s="151">
        <f>AW8/12*Summary!$G$31</f>
        <v>806.66666666666663</v>
      </c>
      <c r="AY8" s="152">
        <v>819.18</v>
      </c>
      <c r="AZ8" s="153">
        <f>AX8-AY8</f>
        <v>-12.513333333333321</v>
      </c>
    </row>
    <row r="9" spans="1:52" ht="16.5" customHeight="1" x14ac:dyDescent="0.3">
      <c r="A9" s="3" t="s">
        <v>12</v>
      </c>
      <c r="B9" s="32" t="s">
        <v>137</v>
      </c>
      <c r="C9" s="32"/>
      <c r="D9" s="210">
        <v>5001</v>
      </c>
      <c r="E9" s="200">
        <f>F9-I9</f>
        <v>0</v>
      </c>
      <c r="F9" s="154">
        <v>90</v>
      </c>
      <c r="G9" s="639">
        <f t="shared" ref="G9:G11" si="0">+E9/I9</f>
        <v>0</v>
      </c>
      <c r="H9" s="66"/>
      <c r="I9" s="150">
        <v>90</v>
      </c>
      <c r="J9" s="151">
        <f>I9/12*Summary!$G$31</f>
        <v>82.5</v>
      </c>
      <c r="K9" s="152">
        <v>60</v>
      </c>
      <c r="L9" s="153">
        <f>J9-K9</f>
        <v>22.5</v>
      </c>
      <c r="M9" s="81"/>
      <c r="N9" s="210">
        <v>5501</v>
      </c>
      <c r="O9" s="244">
        <f>P9-S9</f>
        <v>0</v>
      </c>
      <c r="P9" s="250">
        <v>120</v>
      </c>
      <c r="Q9" s="639">
        <f t="shared" ref="Q9:Q11" si="1">+O9/S9</f>
        <v>0</v>
      </c>
      <c r="R9" s="246"/>
      <c r="S9" s="251">
        <v>120</v>
      </c>
      <c r="T9" s="247">
        <f>S9/12*Summary!$G$31</f>
        <v>110</v>
      </c>
      <c r="U9" s="248">
        <v>80</v>
      </c>
      <c r="V9" s="249">
        <f t="shared" ref="V9:V11" si="2">T9-U9</f>
        <v>30</v>
      </c>
      <c r="X9" s="274">
        <v>5751</v>
      </c>
      <c r="Y9" s="200">
        <f>Z9-AC9</f>
        <v>0</v>
      </c>
      <c r="Z9" s="154">
        <v>90</v>
      </c>
      <c r="AA9" s="639">
        <f t="shared" ref="AA9:AA11" si="3">+Y9/AC9</f>
        <v>0</v>
      </c>
      <c r="AB9" s="198"/>
      <c r="AC9" s="150">
        <v>90</v>
      </c>
      <c r="AD9" s="151">
        <f>AC9/12*Summary!$G$31</f>
        <v>82.5</v>
      </c>
      <c r="AE9" s="152">
        <v>60</v>
      </c>
      <c r="AF9" s="153">
        <f t="shared" ref="AF9:AF11" si="4">AD9-AE9</f>
        <v>22.5</v>
      </c>
      <c r="AH9" s="274">
        <v>6001</v>
      </c>
      <c r="AI9" s="200">
        <f>AJ9-AM9</f>
        <v>0</v>
      </c>
      <c r="AJ9" s="154">
        <v>60</v>
      </c>
      <c r="AK9" s="639">
        <f t="shared" ref="AK9:AK11" si="5">+AI9/AM9</f>
        <v>0</v>
      </c>
      <c r="AL9" s="198"/>
      <c r="AM9" s="150">
        <v>60</v>
      </c>
      <c r="AN9" s="151">
        <f>AM9/12*Summary!$G$31</f>
        <v>55</v>
      </c>
      <c r="AO9" s="152">
        <v>40</v>
      </c>
      <c r="AP9" s="153">
        <f>AN9-AO9</f>
        <v>15</v>
      </c>
      <c r="AR9" s="274">
        <v>6251</v>
      </c>
      <c r="AS9" s="200">
        <f>AT9-AW9</f>
        <v>0</v>
      </c>
      <c r="AT9" s="154">
        <v>120</v>
      </c>
      <c r="AU9" s="639">
        <f t="shared" ref="AU9:AU11" si="6">+AS9/AW9</f>
        <v>0</v>
      </c>
      <c r="AV9" s="155"/>
      <c r="AW9" s="150">
        <v>120</v>
      </c>
      <c r="AX9" s="151">
        <f>AW9/12*Summary!$G$31</f>
        <v>110</v>
      </c>
      <c r="AY9" s="152">
        <v>80</v>
      </c>
      <c r="AZ9" s="153">
        <f>AX9-AY9</f>
        <v>30</v>
      </c>
    </row>
    <row r="10" spans="1:52" ht="16.5" customHeight="1" x14ac:dyDescent="0.3">
      <c r="A10" s="3" t="s">
        <v>304</v>
      </c>
      <c r="B10" s="32" t="s">
        <v>137</v>
      </c>
      <c r="C10" s="32"/>
      <c r="D10" s="210">
        <v>5002</v>
      </c>
      <c r="E10" s="200">
        <f>F10-I10</f>
        <v>325</v>
      </c>
      <c r="F10" s="154">
        <f>650*150%</f>
        <v>975</v>
      </c>
      <c r="G10" s="639">
        <f t="shared" si="0"/>
        <v>0.5</v>
      </c>
      <c r="H10" s="66"/>
      <c r="I10" s="150">
        <v>650</v>
      </c>
      <c r="J10" s="151">
        <f>I10/12*Summary!$G$31</f>
        <v>595.83333333333326</v>
      </c>
      <c r="K10" s="152">
        <v>402.53</v>
      </c>
      <c r="L10" s="153">
        <f>J10-K10</f>
        <v>193.30333333333328</v>
      </c>
      <c r="M10" s="81"/>
      <c r="N10" s="210">
        <v>5502</v>
      </c>
      <c r="O10" s="244">
        <f>P10-S10</f>
        <v>150</v>
      </c>
      <c r="P10" s="250">
        <f>300*150%</f>
        <v>450</v>
      </c>
      <c r="Q10" s="639">
        <f t="shared" si="1"/>
        <v>0.5</v>
      </c>
      <c r="R10" s="246"/>
      <c r="S10" s="251">
        <v>300</v>
      </c>
      <c r="T10" s="247">
        <f>S10/12*Summary!$G$31</f>
        <v>275</v>
      </c>
      <c r="U10" s="248">
        <v>348.68</v>
      </c>
      <c r="V10" s="249">
        <f t="shared" si="2"/>
        <v>-73.680000000000007</v>
      </c>
      <c r="X10" s="274">
        <v>5752</v>
      </c>
      <c r="Y10" s="200">
        <f>Z10-AC10</f>
        <v>180</v>
      </c>
      <c r="Z10" s="154">
        <f>360*150%</f>
        <v>540</v>
      </c>
      <c r="AA10" s="639">
        <f t="shared" si="3"/>
        <v>0.5</v>
      </c>
      <c r="AB10" s="198"/>
      <c r="AC10" s="150">
        <v>360</v>
      </c>
      <c r="AD10" s="151">
        <f>AC10/12*Summary!$G$31</f>
        <v>330</v>
      </c>
      <c r="AE10" s="152">
        <v>430.25</v>
      </c>
      <c r="AF10" s="153">
        <f t="shared" si="4"/>
        <v>-100.25</v>
      </c>
      <c r="AH10" s="274">
        <v>6002</v>
      </c>
      <c r="AI10" s="200">
        <f>AJ10-AM10</f>
        <v>575</v>
      </c>
      <c r="AJ10" s="154">
        <f>1150*150%</f>
        <v>1725</v>
      </c>
      <c r="AK10" s="639">
        <f t="shared" si="5"/>
        <v>0.5</v>
      </c>
      <c r="AL10" s="198"/>
      <c r="AM10" s="150">
        <v>1150</v>
      </c>
      <c r="AN10" s="151">
        <f>AM10/12*Summary!$G$31</f>
        <v>1054.1666666666665</v>
      </c>
      <c r="AO10" s="152">
        <v>2168.0700000000002</v>
      </c>
      <c r="AP10" s="153">
        <f>AN10-AO10</f>
        <v>-1113.9033333333336</v>
      </c>
      <c r="AR10" s="274">
        <v>6252</v>
      </c>
      <c r="AS10" s="200">
        <f>AT10-AW10</f>
        <v>195</v>
      </c>
      <c r="AT10" s="154">
        <f>390*150%</f>
        <v>585</v>
      </c>
      <c r="AU10" s="639">
        <f t="shared" si="6"/>
        <v>0.5</v>
      </c>
      <c r="AV10" s="155"/>
      <c r="AW10" s="150">
        <v>390</v>
      </c>
      <c r="AX10" s="151">
        <f>AW10/12*Summary!$G$31</f>
        <v>357.5</v>
      </c>
      <c r="AY10" s="152">
        <v>583.58000000000004</v>
      </c>
      <c r="AZ10" s="153">
        <f>AX10-AY10</f>
        <v>-226.08000000000004</v>
      </c>
    </row>
    <row r="11" spans="1:52" ht="16.5" customHeight="1" x14ac:dyDescent="0.3">
      <c r="A11" s="3" t="s">
        <v>98</v>
      </c>
      <c r="B11" s="32"/>
      <c r="C11" s="32"/>
      <c r="D11" s="210">
        <v>5003</v>
      </c>
      <c r="E11" s="200">
        <f>F11-I11</f>
        <v>20.480000000000018</v>
      </c>
      <c r="F11" s="149">
        <v>272.48</v>
      </c>
      <c r="G11" s="639">
        <f t="shared" si="0"/>
        <v>8.1269841269841339E-2</v>
      </c>
      <c r="H11" s="66"/>
      <c r="I11" s="150">
        <v>252</v>
      </c>
      <c r="J11" s="151">
        <f>I11/12*Summary!$G$31</f>
        <v>231</v>
      </c>
      <c r="K11" s="152">
        <v>262</v>
      </c>
      <c r="L11" s="153">
        <f>J11-K11</f>
        <v>-31</v>
      </c>
      <c r="M11" s="79"/>
      <c r="N11" s="216">
        <v>5503</v>
      </c>
      <c r="O11" s="244">
        <f>P11-S11</f>
        <v>18.800000000000011</v>
      </c>
      <c r="P11" s="695">
        <v>228.8</v>
      </c>
      <c r="Q11" s="639">
        <f t="shared" si="1"/>
        <v>8.9523809523809575E-2</v>
      </c>
      <c r="R11" s="246"/>
      <c r="S11" s="242">
        <v>210</v>
      </c>
      <c r="T11" s="247">
        <f>S11/12*Summary!$G$31</f>
        <v>192.5</v>
      </c>
      <c r="U11" s="252">
        <v>220</v>
      </c>
      <c r="V11" s="249">
        <f t="shared" si="2"/>
        <v>-27.5</v>
      </c>
      <c r="X11" s="274">
        <v>5753</v>
      </c>
      <c r="Y11" s="200">
        <f>Z11-AC11</f>
        <v>17.120000000000005</v>
      </c>
      <c r="Z11" s="696">
        <v>185.12</v>
      </c>
      <c r="AA11" s="639">
        <f t="shared" si="3"/>
        <v>0.10190476190476193</v>
      </c>
      <c r="AB11" s="198"/>
      <c r="AC11" s="150">
        <v>168</v>
      </c>
      <c r="AD11" s="151">
        <f>AC11/12*Summary!$G$31</f>
        <v>154</v>
      </c>
      <c r="AE11" s="176">
        <v>178</v>
      </c>
      <c r="AF11" s="153">
        <f t="shared" si="4"/>
        <v>-24</v>
      </c>
      <c r="AH11" s="274">
        <v>6003</v>
      </c>
      <c r="AI11" s="200">
        <f>AJ11-AM11</f>
        <v>17</v>
      </c>
      <c r="AJ11" s="149">
        <v>185</v>
      </c>
      <c r="AK11" s="639">
        <f t="shared" si="5"/>
        <v>0.10119047619047619</v>
      </c>
      <c r="AL11" s="198"/>
      <c r="AM11" s="150">
        <v>168</v>
      </c>
      <c r="AN11" s="151">
        <f>AM11/12*Summary!$G$31</f>
        <v>154</v>
      </c>
      <c r="AO11" s="152">
        <v>178</v>
      </c>
      <c r="AP11" s="153">
        <f>AN11-AO11</f>
        <v>-24</v>
      </c>
      <c r="AR11" s="274">
        <v>6253</v>
      </c>
      <c r="AS11" s="200">
        <f>AT11-AW11</f>
        <v>32</v>
      </c>
      <c r="AT11" s="149">
        <v>578</v>
      </c>
      <c r="AU11" s="639">
        <f t="shared" si="6"/>
        <v>5.8608058608058608E-2</v>
      </c>
      <c r="AV11" s="150"/>
      <c r="AW11" s="150">
        <v>546</v>
      </c>
      <c r="AX11" s="151">
        <f>AW11/12*Summary!$G$31</f>
        <v>500.5</v>
      </c>
      <c r="AY11" s="152">
        <v>556</v>
      </c>
      <c r="AZ11" s="153">
        <f>AX11-AY11</f>
        <v>-55.5</v>
      </c>
    </row>
    <row r="12" spans="1:52" ht="15.75" customHeight="1" x14ac:dyDescent="0.3">
      <c r="A12" s="3"/>
      <c r="B12" s="32"/>
      <c r="C12" s="32"/>
      <c r="D12" s="210"/>
      <c r="E12" s="200"/>
      <c r="F12" s="156"/>
      <c r="G12" s="150"/>
      <c r="H12" s="66"/>
      <c r="I12" s="157"/>
      <c r="J12" s="151"/>
      <c r="K12" s="151"/>
      <c r="L12" s="153"/>
      <c r="M12" s="79"/>
      <c r="N12" s="216"/>
      <c r="O12" s="244"/>
      <c r="P12" s="253"/>
      <c r="Q12" s="150"/>
      <c r="R12" s="246"/>
      <c r="S12" s="242"/>
      <c r="T12" s="254"/>
      <c r="U12" s="254" t="s">
        <v>137</v>
      </c>
      <c r="V12" s="255"/>
      <c r="X12" s="274"/>
      <c r="Y12" s="200"/>
      <c r="Z12" s="177"/>
      <c r="AA12" s="150"/>
      <c r="AB12" s="198"/>
      <c r="AC12" s="150"/>
      <c r="AD12" s="52"/>
      <c r="AE12" s="52"/>
      <c r="AF12" s="178"/>
      <c r="AH12" s="274"/>
      <c r="AI12" s="200"/>
      <c r="AJ12" s="156"/>
      <c r="AK12" s="150"/>
      <c r="AL12" s="198"/>
      <c r="AM12" s="150"/>
      <c r="AN12" s="151"/>
      <c r="AO12" s="151"/>
      <c r="AP12" s="153"/>
      <c r="AR12" s="274"/>
      <c r="AS12" s="200"/>
      <c r="AT12" s="156"/>
      <c r="AU12" s="150"/>
      <c r="AV12" s="150"/>
      <c r="AW12" s="150"/>
      <c r="AX12" s="151"/>
      <c r="AY12" s="151"/>
      <c r="AZ12" s="153"/>
    </row>
    <row r="13" spans="1:52" s="8" customFormat="1" ht="15" thickBot="1" x14ac:dyDescent="0.35">
      <c r="A13" s="58" t="s">
        <v>103</v>
      </c>
      <c r="B13" s="30"/>
      <c r="C13" s="30"/>
      <c r="D13" s="326"/>
      <c r="E13" s="33">
        <f>SUM(E7:E12)</f>
        <v>376.48</v>
      </c>
      <c r="F13" s="34">
        <f>SUM(F7:F12)</f>
        <v>1944.48</v>
      </c>
      <c r="G13" s="641">
        <f>+E13/I13</f>
        <v>0.24010204081632655</v>
      </c>
      <c r="H13" s="58"/>
      <c r="I13" s="104">
        <v>1568</v>
      </c>
      <c r="J13" s="35">
        <f t="shared" ref="J13:L13" si="7">SUM(J7:J12)</f>
        <v>1437.3333333333333</v>
      </c>
      <c r="K13" s="35">
        <f t="shared" si="7"/>
        <v>1261.01</v>
      </c>
      <c r="L13" s="158">
        <f t="shared" si="7"/>
        <v>176.32333333333327</v>
      </c>
      <c r="M13" s="44"/>
      <c r="N13" s="327"/>
      <c r="O13" s="328">
        <f>SUM(O7:O12)</f>
        <v>225.8</v>
      </c>
      <c r="P13" s="329">
        <f>SUM(P7:P12)</f>
        <v>1943.8</v>
      </c>
      <c r="Q13" s="641">
        <f>+O13/S13</f>
        <v>0.13143189755529686</v>
      </c>
      <c r="R13" s="331"/>
      <c r="S13" s="330">
        <v>1718</v>
      </c>
      <c r="T13" s="331">
        <f t="shared" ref="T13:V13" si="8">SUM(T7:T12)</f>
        <v>1574.8333333333335</v>
      </c>
      <c r="U13" s="331">
        <f t="shared" si="8"/>
        <v>1661.42</v>
      </c>
      <c r="V13" s="332">
        <f t="shared" si="8"/>
        <v>-86.586666666666645</v>
      </c>
      <c r="X13" s="342"/>
      <c r="Y13" s="59">
        <f>SUM(Y7:Y12)</f>
        <v>241.12</v>
      </c>
      <c r="Z13" s="60">
        <f>SUM(Z7:Z12)</f>
        <v>1691.12</v>
      </c>
      <c r="AA13" s="641">
        <f>+Y13/AC13</f>
        <v>0.16628965517241379</v>
      </c>
      <c r="AB13" s="61"/>
      <c r="AC13" s="104">
        <v>1450</v>
      </c>
      <c r="AD13" s="58">
        <f t="shared" ref="AD13:AF13" si="9">SUM(AD7:AD12)</f>
        <v>1329.1666666666665</v>
      </c>
      <c r="AE13" s="58">
        <f t="shared" si="9"/>
        <v>1498.99</v>
      </c>
      <c r="AF13" s="179">
        <f t="shared" si="9"/>
        <v>-169.82333333333338</v>
      </c>
      <c r="AH13" s="342"/>
      <c r="AI13" s="33">
        <f>SUM(AI7:AI12)</f>
        <v>651</v>
      </c>
      <c r="AJ13" s="34">
        <f>SUM(AJ7:AJ12)</f>
        <v>3134</v>
      </c>
      <c r="AK13" s="641">
        <f>+AI13/AM13</f>
        <v>0.26218284333467579</v>
      </c>
      <c r="AL13" s="61"/>
      <c r="AM13" s="104">
        <v>2483</v>
      </c>
      <c r="AN13" s="35">
        <f>SUM(AN7:AN12)</f>
        <v>2276.083333333333</v>
      </c>
      <c r="AO13" s="35">
        <f>SUM(AO7:AO12)</f>
        <v>3415.19</v>
      </c>
      <c r="AP13" s="158">
        <f>SUM(AP7:AP12)</f>
        <v>-1139.106666666667</v>
      </c>
      <c r="AR13" s="342"/>
      <c r="AS13" s="33">
        <f>SUM(AS7:AS12)</f>
        <v>273</v>
      </c>
      <c r="AT13" s="34">
        <f>SUM(AT7:AT12)</f>
        <v>2209</v>
      </c>
      <c r="AU13" s="641">
        <f>+AS13/AW13</f>
        <v>0.14101239669421486</v>
      </c>
      <c r="AV13" s="94"/>
      <c r="AW13" s="104">
        <v>1936</v>
      </c>
      <c r="AX13" s="35">
        <f t="shared" ref="AX13:AZ13" si="10">SUM(AX7:AX12)</f>
        <v>1774.6666666666665</v>
      </c>
      <c r="AY13" s="35">
        <f t="shared" si="10"/>
        <v>2038.76</v>
      </c>
      <c r="AZ13" s="158">
        <f t="shared" si="10"/>
        <v>-264.09333333333336</v>
      </c>
    </row>
    <row r="14" spans="1:52" s="8" customFormat="1" x14ac:dyDescent="0.3">
      <c r="A14" s="2"/>
      <c r="B14" s="30"/>
      <c r="C14" s="30"/>
      <c r="D14" s="210"/>
      <c r="E14" s="43"/>
      <c r="F14" s="159"/>
      <c r="G14" s="160"/>
      <c r="H14" s="146"/>
      <c r="I14" s="145"/>
      <c r="J14" s="45"/>
      <c r="K14" s="45"/>
      <c r="L14" s="161"/>
      <c r="M14" s="78"/>
      <c r="N14" s="216"/>
      <c r="O14" s="257"/>
      <c r="P14" s="253"/>
      <c r="Q14" s="242"/>
      <c r="R14" s="258"/>
      <c r="S14" s="242"/>
      <c r="T14" s="254"/>
      <c r="U14" s="254"/>
      <c r="V14" s="255"/>
      <c r="X14" s="274"/>
      <c r="Y14" s="51"/>
      <c r="Z14" s="177"/>
      <c r="AA14" s="242"/>
      <c r="AB14" s="180"/>
      <c r="AC14" s="160"/>
      <c r="AD14" s="52"/>
      <c r="AE14" s="52"/>
      <c r="AF14" s="178"/>
      <c r="AH14" s="274"/>
      <c r="AI14" s="297"/>
      <c r="AJ14" s="177"/>
      <c r="AK14" s="242"/>
      <c r="AL14" s="117"/>
      <c r="AM14" s="172"/>
      <c r="AN14" s="117"/>
      <c r="AO14" s="117"/>
      <c r="AP14" s="298"/>
      <c r="AR14" s="274"/>
      <c r="AS14" s="51"/>
      <c r="AT14" s="177"/>
      <c r="AU14" s="242"/>
      <c r="AV14" s="172"/>
      <c r="AW14" s="172"/>
      <c r="AX14" s="52"/>
      <c r="AY14" s="52"/>
      <c r="AZ14" s="178"/>
    </row>
    <row r="15" spans="1:52" x14ac:dyDescent="0.3">
      <c r="A15" s="4" t="s">
        <v>18</v>
      </c>
      <c r="B15" s="115"/>
      <c r="C15" s="115"/>
      <c r="D15" s="211"/>
      <c r="E15" s="200"/>
      <c r="F15" s="159"/>
      <c r="G15" s="160"/>
      <c r="H15" s="162"/>
      <c r="I15" s="145"/>
      <c r="J15" s="151"/>
      <c r="K15" s="151"/>
      <c r="L15" s="153"/>
      <c r="M15" s="78"/>
      <c r="N15" s="216"/>
      <c r="O15" s="257"/>
      <c r="P15" s="253"/>
      <c r="Q15" s="242"/>
      <c r="R15" s="241"/>
      <c r="S15" s="242"/>
      <c r="T15" s="254"/>
      <c r="U15" s="254"/>
      <c r="V15" s="255"/>
      <c r="X15" s="274"/>
      <c r="Y15" s="51"/>
      <c r="Z15" s="177"/>
      <c r="AA15" s="242"/>
      <c r="AB15" s="171"/>
      <c r="AC15" s="172"/>
      <c r="AD15" s="52"/>
      <c r="AE15" s="52"/>
      <c r="AF15" s="178"/>
      <c r="AH15" s="274"/>
      <c r="AI15" s="297"/>
      <c r="AJ15" s="177"/>
      <c r="AK15" s="242"/>
      <c r="AL15" s="171"/>
      <c r="AM15" s="172"/>
      <c r="AN15" s="117"/>
      <c r="AO15" s="117"/>
      <c r="AP15" s="298"/>
      <c r="AR15" s="274"/>
      <c r="AS15" s="51"/>
      <c r="AT15" s="177"/>
      <c r="AU15" s="242"/>
      <c r="AV15" s="172"/>
      <c r="AW15" s="172"/>
      <c r="AX15" s="52"/>
      <c r="AY15" s="52"/>
      <c r="AZ15" s="178"/>
    </row>
    <row r="16" spans="1:52" x14ac:dyDescent="0.3">
      <c r="A16" s="3" t="s">
        <v>17</v>
      </c>
      <c r="B16" s="32" t="s">
        <v>137</v>
      </c>
      <c r="C16" s="32"/>
      <c r="D16" s="210">
        <v>5020</v>
      </c>
      <c r="E16" s="200">
        <f>F16-I16</f>
        <v>0</v>
      </c>
      <c r="F16" s="154">
        <v>200</v>
      </c>
      <c r="G16" s="639">
        <f t="shared" ref="G16:G19" si="11">+E16/I16</f>
        <v>0</v>
      </c>
      <c r="H16" s="66"/>
      <c r="I16" s="150">
        <v>200</v>
      </c>
      <c r="J16" s="151">
        <f>I16/12*Summary!$G$31</f>
        <v>183.33333333333334</v>
      </c>
      <c r="K16" s="152">
        <v>243</v>
      </c>
      <c r="L16" s="153">
        <f t="shared" ref="L16:L21" si="12">J16-K16</f>
        <v>-59.666666666666657</v>
      </c>
      <c r="M16" s="81"/>
      <c r="N16" s="210">
        <v>5520</v>
      </c>
      <c r="O16" s="244">
        <f>P16-S16</f>
        <v>490</v>
      </c>
      <c r="P16" s="250">
        <f>410+490</f>
        <v>900</v>
      </c>
      <c r="Q16" s="639">
        <f t="shared" ref="Q16:Q19" si="13">+O16/S16</f>
        <v>1.1951219512195121</v>
      </c>
      <c r="R16" s="246"/>
      <c r="S16" s="251">
        <v>410</v>
      </c>
      <c r="T16" s="247">
        <f>S16/12*Summary!$G$31</f>
        <v>375.83333333333331</v>
      </c>
      <c r="U16" s="248">
        <v>426.06</v>
      </c>
      <c r="V16" s="249">
        <f t="shared" ref="V16:V21" si="14">T16-U16</f>
        <v>-50.226666666666688</v>
      </c>
      <c r="X16" s="274">
        <v>5770</v>
      </c>
      <c r="Y16" s="200">
        <f>Z16-AC16</f>
        <v>0</v>
      </c>
      <c r="Z16" s="154">
        <v>200</v>
      </c>
      <c r="AA16" s="639">
        <f t="shared" ref="AA16:AA19" si="15">+Y16/AC16</f>
        <v>0</v>
      </c>
      <c r="AB16" s="175"/>
      <c r="AC16" s="150">
        <v>200</v>
      </c>
      <c r="AD16" s="151">
        <f>AC16/12*Summary!$G$31</f>
        <v>183.33333333333334</v>
      </c>
      <c r="AE16" s="152">
        <v>87.75</v>
      </c>
      <c r="AF16" s="153">
        <f t="shared" ref="AF16:AF21" si="16">AD16-AE16</f>
        <v>95.583333333333343</v>
      </c>
      <c r="AH16" s="274">
        <v>6020</v>
      </c>
      <c r="AI16" s="200">
        <f t="shared" ref="AI16:AI21" si="17">AJ16-AM16</f>
        <v>0</v>
      </c>
      <c r="AJ16" s="154">
        <v>1000</v>
      </c>
      <c r="AK16" s="639">
        <f t="shared" ref="AK16:AK20" si="18">+AI16/AM16</f>
        <v>0</v>
      </c>
      <c r="AL16" s="175"/>
      <c r="AM16" s="150">
        <v>1000</v>
      </c>
      <c r="AN16" s="151">
        <f>AM16/12*Summary!$G$31</f>
        <v>916.66666666666663</v>
      </c>
      <c r="AO16" s="176">
        <v>0</v>
      </c>
      <c r="AP16" s="153">
        <f t="shared" ref="AP16:AP17" si="19">AN16-AO16</f>
        <v>916.66666666666663</v>
      </c>
      <c r="AR16" s="274">
        <v>6270</v>
      </c>
      <c r="AS16" s="200">
        <f>AT16-AW16</f>
        <v>0</v>
      </c>
      <c r="AT16" s="154">
        <v>250</v>
      </c>
      <c r="AU16" s="639">
        <f t="shared" ref="AU16:AU19" si="20">+AS16/AW16</f>
        <v>0</v>
      </c>
      <c r="AV16" s="155"/>
      <c r="AW16" s="150">
        <v>250</v>
      </c>
      <c r="AX16" s="151">
        <f>AW16/12*Summary!$G$31</f>
        <v>229.16666666666666</v>
      </c>
      <c r="AY16" s="176">
        <v>169.01</v>
      </c>
      <c r="AZ16" s="153">
        <f t="shared" ref="AZ16:AZ19" si="21">AX16-AY16</f>
        <v>60.156666666666666</v>
      </c>
    </row>
    <row r="17" spans="1:52" x14ac:dyDescent="0.3">
      <c r="A17" s="3" t="s">
        <v>13</v>
      </c>
      <c r="B17" s="32" t="s">
        <v>137</v>
      </c>
      <c r="C17" s="32"/>
      <c r="D17" s="210">
        <v>5021</v>
      </c>
      <c r="E17" s="200">
        <f>F17-I17</f>
        <v>0</v>
      </c>
      <c r="F17" s="154">
        <v>50</v>
      </c>
      <c r="G17" s="639">
        <f t="shared" si="11"/>
        <v>0</v>
      </c>
      <c r="H17" s="66"/>
      <c r="I17" s="150">
        <v>50</v>
      </c>
      <c r="J17" s="151">
        <f>I17/12*Summary!$G$31</f>
        <v>45.833333333333336</v>
      </c>
      <c r="K17" s="152">
        <v>0</v>
      </c>
      <c r="L17" s="153">
        <f t="shared" si="12"/>
        <v>45.833333333333336</v>
      </c>
      <c r="M17" s="81"/>
      <c r="N17" s="210">
        <v>5521</v>
      </c>
      <c r="O17" s="244">
        <f>P17-S17</f>
        <v>0</v>
      </c>
      <c r="P17" s="250">
        <v>50</v>
      </c>
      <c r="Q17" s="639">
        <f t="shared" si="13"/>
        <v>0</v>
      </c>
      <c r="R17" s="246"/>
      <c r="S17" s="251">
        <v>50</v>
      </c>
      <c r="T17" s="247">
        <f>S17/12*Summary!$G$31</f>
        <v>45.833333333333336</v>
      </c>
      <c r="U17" s="248">
        <v>0</v>
      </c>
      <c r="V17" s="249">
        <f t="shared" si="14"/>
        <v>45.833333333333336</v>
      </c>
      <c r="X17" s="274">
        <v>5771</v>
      </c>
      <c r="Y17" s="200">
        <f>Z17-AC17</f>
        <v>0</v>
      </c>
      <c r="Z17" s="154">
        <v>50</v>
      </c>
      <c r="AA17" s="639">
        <f t="shared" si="15"/>
        <v>0</v>
      </c>
      <c r="AB17" s="175"/>
      <c r="AC17" s="150">
        <v>50</v>
      </c>
      <c r="AD17" s="151">
        <f>AC17/12*Summary!$G$31</f>
        <v>45.833333333333336</v>
      </c>
      <c r="AE17" s="152">
        <v>0</v>
      </c>
      <c r="AF17" s="153">
        <f t="shared" si="16"/>
        <v>45.833333333333336</v>
      </c>
      <c r="AH17" s="274">
        <v>6021</v>
      </c>
      <c r="AI17" s="200">
        <f t="shared" si="17"/>
        <v>0</v>
      </c>
      <c r="AJ17" s="154">
        <v>50</v>
      </c>
      <c r="AK17" s="639">
        <f t="shared" si="18"/>
        <v>0</v>
      </c>
      <c r="AL17" s="175"/>
      <c r="AM17" s="150">
        <v>50</v>
      </c>
      <c r="AN17" s="151">
        <f>AM17/12*Summary!$G$31</f>
        <v>45.833333333333336</v>
      </c>
      <c r="AO17" s="176">
        <v>0</v>
      </c>
      <c r="AP17" s="153">
        <f t="shared" si="19"/>
        <v>45.833333333333336</v>
      </c>
      <c r="AR17" s="274">
        <v>6271</v>
      </c>
      <c r="AS17" s="200">
        <f>AT17-AW17</f>
        <v>0</v>
      </c>
      <c r="AT17" s="154">
        <v>50</v>
      </c>
      <c r="AU17" s="639">
        <f t="shared" si="20"/>
        <v>0</v>
      </c>
      <c r="AV17" s="155"/>
      <c r="AW17" s="150">
        <v>50</v>
      </c>
      <c r="AX17" s="151">
        <f>AW17/12*Summary!$G$31</f>
        <v>45.833333333333336</v>
      </c>
      <c r="AY17" s="176">
        <v>0</v>
      </c>
      <c r="AZ17" s="153">
        <f t="shared" si="21"/>
        <v>45.833333333333336</v>
      </c>
    </row>
    <row r="18" spans="1:52" x14ac:dyDescent="0.3">
      <c r="A18" s="698" t="s">
        <v>306</v>
      </c>
      <c r="B18" s="32" t="s">
        <v>137</v>
      </c>
      <c r="C18" s="32"/>
      <c r="D18" s="210">
        <v>5022</v>
      </c>
      <c r="E18" s="200">
        <f>F18-I18</f>
        <v>186.8</v>
      </c>
      <c r="F18" s="154">
        <f>132+79.8</f>
        <v>211.8</v>
      </c>
      <c r="G18" s="639">
        <f t="shared" si="11"/>
        <v>7.4720000000000004</v>
      </c>
      <c r="H18" s="66"/>
      <c r="I18" s="150">
        <v>25</v>
      </c>
      <c r="J18" s="151">
        <f>I18/12*Summary!$G$31</f>
        <v>22.916666666666668</v>
      </c>
      <c r="K18" s="152">
        <v>79.8</v>
      </c>
      <c r="L18" s="153">
        <f t="shared" si="12"/>
        <v>-56.883333333333326</v>
      </c>
      <c r="M18" s="81"/>
      <c r="N18" s="210">
        <v>5522</v>
      </c>
      <c r="O18" s="244">
        <f>P18-S18</f>
        <v>388</v>
      </c>
      <c r="P18" s="250">
        <f>192+246</f>
        <v>438</v>
      </c>
      <c r="Q18" s="639">
        <f t="shared" si="13"/>
        <v>7.76</v>
      </c>
      <c r="R18" s="246"/>
      <c r="S18" s="251">
        <v>50</v>
      </c>
      <c r="T18" s="247">
        <f>S18/12*Summary!$G$31</f>
        <v>45.833333333333336</v>
      </c>
      <c r="U18" s="248">
        <v>246</v>
      </c>
      <c r="V18" s="249">
        <f t="shared" si="14"/>
        <v>-200.16666666666666</v>
      </c>
      <c r="X18" s="274">
        <v>5772</v>
      </c>
      <c r="Y18" s="200">
        <f>Z18-AC18</f>
        <v>248.8</v>
      </c>
      <c r="Z18" s="154">
        <f>192+106.8</f>
        <v>298.8</v>
      </c>
      <c r="AA18" s="639">
        <f t="shared" si="15"/>
        <v>4.976</v>
      </c>
      <c r="AB18" s="175"/>
      <c r="AC18" s="150">
        <v>50</v>
      </c>
      <c r="AD18" s="151">
        <f>AC18/12*Summary!$G$31</f>
        <v>45.833333333333336</v>
      </c>
      <c r="AE18" s="152">
        <v>106.8</v>
      </c>
      <c r="AF18" s="153">
        <f t="shared" si="16"/>
        <v>-60.966666666666661</v>
      </c>
      <c r="AH18" s="274">
        <v>6024</v>
      </c>
      <c r="AI18" s="200">
        <f t="shared" si="17"/>
        <v>382.79999999999995</v>
      </c>
      <c r="AJ18" s="696">
        <f>312+220.8</f>
        <v>532.79999999999995</v>
      </c>
      <c r="AK18" s="639">
        <f t="shared" si="18"/>
        <v>2.5519999999999996</v>
      </c>
      <c r="AL18" s="175"/>
      <c r="AM18" s="172">
        <v>150</v>
      </c>
      <c r="AN18" s="151">
        <f>AM18/12*Summary!$G$31</f>
        <v>137.5</v>
      </c>
      <c r="AO18" s="176">
        <v>220.8</v>
      </c>
      <c r="AP18" s="153">
        <f>AN18-AO18</f>
        <v>-83.300000000000011</v>
      </c>
      <c r="AR18" s="274">
        <v>6272</v>
      </c>
      <c r="AS18" s="200">
        <f>AT18-AW18</f>
        <v>280.39999999999998</v>
      </c>
      <c r="AT18" s="154">
        <f>192+188.4</f>
        <v>380.4</v>
      </c>
      <c r="AU18" s="639">
        <f t="shared" si="20"/>
        <v>2.8039999999999998</v>
      </c>
      <c r="AV18" s="155"/>
      <c r="AW18" s="150">
        <v>100</v>
      </c>
      <c r="AX18" s="151">
        <f>AW18/12*Summary!$G$31</f>
        <v>91.666666666666671</v>
      </c>
      <c r="AY18" s="176">
        <v>188.4</v>
      </c>
      <c r="AZ18" s="153">
        <f t="shared" si="21"/>
        <v>-96.733333333333334</v>
      </c>
    </row>
    <row r="19" spans="1:52" ht="15.75" customHeight="1" x14ac:dyDescent="0.3">
      <c r="A19" s="3" t="s">
        <v>283</v>
      </c>
      <c r="B19" s="32" t="s">
        <v>137</v>
      </c>
      <c r="C19" s="32"/>
      <c r="D19" s="210">
        <v>5023</v>
      </c>
      <c r="E19" s="200">
        <f>F19-I19</f>
        <v>49</v>
      </c>
      <c r="F19" s="154">
        <v>100</v>
      </c>
      <c r="G19" s="639">
        <f t="shared" si="11"/>
        <v>0.96078431372549022</v>
      </c>
      <c r="H19" s="66"/>
      <c r="I19" s="150">
        <v>51</v>
      </c>
      <c r="J19" s="151">
        <f>I19/12*Summary!$G$31</f>
        <v>46.75</v>
      </c>
      <c r="K19" s="152">
        <v>46.3</v>
      </c>
      <c r="L19" s="153">
        <f t="shared" si="12"/>
        <v>0.45000000000000284</v>
      </c>
      <c r="M19" s="81"/>
      <c r="N19" s="210">
        <v>5523</v>
      </c>
      <c r="O19" s="244">
        <f>P19-S19</f>
        <v>49</v>
      </c>
      <c r="P19" s="250">
        <v>100</v>
      </c>
      <c r="Q19" s="639">
        <f t="shared" si="13"/>
        <v>0.96078431372549022</v>
      </c>
      <c r="R19" s="246"/>
      <c r="S19" s="251">
        <v>51</v>
      </c>
      <c r="T19" s="247">
        <f>S19/12*Summary!$G$31</f>
        <v>46.75</v>
      </c>
      <c r="U19" s="248">
        <v>130.69</v>
      </c>
      <c r="V19" s="249">
        <f t="shared" si="14"/>
        <v>-83.94</v>
      </c>
      <c r="X19" s="274">
        <v>5773</v>
      </c>
      <c r="Y19" s="200">
        <f>Z19-AC19</f>
        <v>49</v>
      </c>
      <c r="Z19" s="154">
        <v>100</v>
      </c>
      <c r="AA19" s="639">
        <f t="shared" si="15"/>
        <v>0.96078431372549022</v>
      </c>
      <c r="AB19" s="175"/>
      <c r="AC19" s="150">
        <v>51</v>
      </c>
      <c r="AD19" s="151">
        <f>AC19/12*Summary!$G$31</f>
        <v>46.75</v>
      </c>
      <c r="AE19" s="152">
        <v>89.5</v>
      </c>
      <c r="AF19" s="153">
        <f t="shared" si="16"/>
        <v>-42.75</v>
      </c>
      <c r="AH19" s="274">
        <v>6022</v>
      </c>
      <c r="AI19" s="200">
        <f t="shared" si="17"/>
        <v>100</v>
      </c>
      <c r="AJ19" s="154">
        <v>200</v>
      </c>
      <c r="AK19" s="639">
        <f t="shared" si="18"/>
        <v>1</v>
      </c>
      <c r="AL19" s="175"/>
      <c r="AM19" s="150">
        <v>100</v>
      </c>
      <c r="AN19" s="151">
        <f>AM19/12*Summary!$G$31</f>
        <v>91.666666666666671</v>
      </c>
      <c r="AO19" s="176">
        <v>70.3</v>
      </c>
      <c r="AP19" s="153">
        <f>AN19-AO19</f>
        <v>21.366666666666674</v>
      </c>
      <c r="AR19" s="274">
        <v>6273</v>
      </c>
      <c r="AS19" s="200">
        <f>AT19-AW19</f>
        <v>49</v>
      </c>
      <c r="AT19" s="174">
        <v>100</v>
      </c>
      <c r="AU19" s="639">
        <f t="shared" si="20"/>
        <v>0.96078431372549022</v>
      </c>
      <c r="AV19" s="172"/>
      <c r="AW19" s="172">
        <v>51</v>
      </c>
      <c r="AX19" s="151">
        <f>AW19/12*Summary!$G$31</f>
        <v>46.75</v>
      </c>
      <c r="AY19" s="176">
        <v>46.3</v>
      </c>
      <c r="AZ19" s="153">
        <f t="shared" si="21"/>
        <v>0.45000000000000284</v>
      </c>
    </row>
    <row r="20" spans="1:52" ht="15.75" customHeight="1" x14ac:dyDescent="0.3">
      <c r="A20" s="15" t="s">
        <v>99</v>
      </c>
      <c r="B20" s="32"/>
      <c r="C20" s="32"/>
      <c r="D20" s="276"/>
      <c r="E20" s="277"/>
      <c r="F20" s="278"/>
      <c r="G20" s="278"/>
      <c r="H20" s="279"/>
      <c r="I20" s="280"/>
      <c r="J20" s="281"/>
      <c r="K20" s="281"/>
      <c r="L20" s="282"/>
      <c r="M20" s="291"/>
      <c r="N20" s="276"/>
      <c r="O20" s="283"/>
      <c r="P20" s="284"/>
      <c r="Q20" s="278"/>
      <c r="R20" s="285"/>
      <c r="S20" s="286"/>
      <c r="T20" s="287"/>
      <c r="U20" s="287"/>
      <c r="V20" s="288"/>
      <c r="W20" s="292"/>
      <c r="X20" s="289"/>
      <c r="Y20" s="277"/>
      <c r="Z20" s="278"/>
      <c r="AA20" s="278"/>
      <c r="AB20" s="290"/>
      <c r="AC20" s="280"/>
      <c r="AD20" s="281"/>
      <c r="AE20" s="281"/>
      <c r="AF20" s="282"/>
      <c r="AH20" s="302">
        <v>6023</v>
      </c>
      <c r="AI20" s="200">
        <f t="shared" si="17"/>
        <v>0</v>
      </c>
      <c r="AJ20" s="149">
        <v>168</v>
      </c>
      <c r="AK20" s="639">
        <f t="shared" si="18"/>
        <v>0</v>
      </c>
      <c r="AL20" s="175"/>
      <c r="AM20" s="150">
        <v>168</v>
      </c>
      <c r="AN20" s="151">
        <f>AM20/12*Summary!$G$31</f>
        <v>154</v>
      </c>
      <c r="AO20" s="176">
        <v>142.13</v>
      </c>
      <c r="AP20" s="153">
        <f>AN20-AO20</f>
        <v>11.870000000000005</v>
      </c>
      <c r="AR20" s="313"/>
      <c r="AS20" s="314"/>
      <c r="AT20" s="314"/>
      <c r="AU20" s="654"/>
      <c r="AV20" s="314"/>
      <c r="AW20" s="314"/>
      <c r="AX20" s="314"/>
      <c r="AY20" s="314"/>
      <c r="AZ20" s="282"/>
    </row>
    <row r="21" spans="1:52" x14ac:dyDescent="0.3">
      <c r="A21" s="3" t="s">
        <v>284</v>
      </c>
      <c r="B21" s="3"/>
      <c r="C21" s="3"/>
      <c r="D21" s="216">
        <v>5027</v>
      </c>
      <c r="E21" s="200">
        <f>F21-I21</f>
        <v>0</v>
      </c>
      <c r="F21" s="149">
        <v>0</v>
      </c>
      <c r="G21" s="639">
        <v>0</v>
      </c>
      <c r="H21" s="66"/>
      <c r="I21" s="150">
        <v>0</v>
      </c>
      <c r="J21" s="151">
        <f>I21/12*Summary!$G$31</f>
        <v>0</v>
      </c>
      <c r="K21" s="152">
        <v>0</v>
      </c>
      <c r="L21" s="153">
        <f t="shared" si="12"/>
        <v>0</v>
      </c>
      <c r="M21" s="79"/>
      <c r="N21" s="216">
        <v>5528</v>
      </c>
      <c r="O21" s="244">
        <f>P21-S21</f>
        <v>0</v>
      </c>
      <c r="P21" s="245">
        <v>0</v>
      </c>
      <c r="Q21" s="639">
        <v>0</v>
      </c>
      <c r="R21" s="246"/>
      <c r="S21" s="242">
        <v>0</v>
      </c>
      <c r="T21" s="247">
        <f>S21/12*Summary!$G$31</f>
        <v>0</v>
      </c>
      <c r="U21" s="252">
        <v>0</v>
      </c>
      <c r="V21" s="249">
        <f t="shared" si="14"/>
        <v>0</v>
      </c>
      <c r="X21" s="274">
        <v>5777</v>
      </c>
      <c r="Y21" s="200">
        <f>Z21-AC21</f>
        <v>0</v>
      </c>
      <c r="Z21" s="174">
        <v>0</v>
      </c>
      <c r="AA21" s="639">
        <v>0</v>
      </c>
      <c r="AB21" s="175"/>
      <c r="AC21" s="172">
        <v>0</v>
      </c>
      <c r="AD21" s="151">
        <f>AC21/12*Summary!$G$31</f>
        <v>0</v>
      </c>
      <c r="AE21" s="176">
        <v>0</v>
      </c>
      <c r="AF21" s="153">
        <f t="shared" si="16"/>
        <v>0</v>
      </c>
      <c r="AH21" s="274">
        <v>6030</v>
      </c>
      <c r="AI21" s="200">
        <f t="shared" si="17"/>
        <v>0</v>
      </c>
      <c r="AJ21" s="174">
        <v>0</v>
      </c>
      <c r="AK21" s="639">
        <v>0</v>
      </c>
      <c r="AL21" s="175"/>
      <c r="AM21" s="172">
        <v>0</v>
      </c>
      <c r="AN21" s="151">
        <f>AM21/12*Summary!$G$31</f>
        <v>0</v>
      </c>
      <c r="AO21" s="176">
        <v>0</v>
      </c>
      <c r="AP21" s="153">
        <f>AN21-AO21</f>
        <v>0</v>
      </c>
      <c r="AR21" s="302">
        <v>6277</v>
      </c>
      <c r="AS21" s="200">
        <f>AT21-AW21</f>
        <v>0</v>
      </c>
      <c r="AT21" s="174">
        <v>0</v>
      </c>
      <c r="AU21" s="639">
        <v>0</v>
      </c>
      <c r="AV21" s="172"/>
      <c r="AW21" s="172">
        <v>0</v>
      </c>
      <c r="AX21" s="151">
        <f>AW21/12*Summary!$G$31</f>
        <v>0</v>
      </c>
      <c r="AY21" s="176">
        <v>0</v>
      </c>
      <c r="AZ21" s="153">
        <f>AX21-AY21</f>
        <v>0</v>
      </c>
    </row>
    <row r="22" spans="1:52" x14ac:dyDescent="0.3">
      <c r="A22" s="3"/>
      <c r="B22" s="3"/>
      <c r="C22" s="3"/>
      <c r="D22" s="216"/>
      <c r="E22" s="200"/>
      <c r="F22" s="156"/>
      <c r="G22" s="150"/>
      <c r="H22" s="66"/>
      <c r="I22" s="157"/>
      <c r="J22" s="151"/>
      <c r="K22" s="151"/>
      <c r="L22" s="153"/>
      <c r="M22" s="79"/>
      <c r="N22" s="212"/>
      <c r="O22" s="244"/>
      <c r="P22" s="253"/>
      <c r="Q22" s="150"/>
      <c r="R22" s="246"/>
      <c r="S22" s="242"/>
      <c r="T22" s="254"/>
      <c r="U22" s="254"/>
      <c r="V22" s="255"/>
      <c r="X22" s="274"/>
      <c r="Y22" s="200"/>
      <c r="Z22" s="177"/>
      <c r="AA22" s="150"/>
      <c r="AB22" s="175"/>
      <c r="AC22" s="172"/>
      <c r="AD22" s="52"/>
      <c r="AE22" s="52"/>
      <c r="AF22" s="178"/>
      <c r="AH22" s="135"/>
      <c r="AI22" s="200"/>
      <c r="AJ22" s="177"/>
      <c r="AK22" s="150"/>
      <c r="AL22" s="175"/>
      <c r="AM22" s="172"/>
      <c r="AN22" s="151"/>
      <c r="AO22" s="117">
        <v>0</v>
      </c>
      <c r="AP22" s="298"/>
      <c r="AR22" s="274"/>
      <c r="AS22" s="51"/>
      <c r="AT22" s="177"/>
      <c r="AU22" s="150"/>
      <c r="AV22" s="172"/>
      <c r="AW22" s="172"/>
      <c r="AX22" s="52"/>
      <c r="AY22" s="52"/>
      <c r="AZ22" s="178"/>
    </row>
    <row r="23" spans="1:52" s="8" customFormat="1" ht="15" thickBot="1" x14ac:dyDescent="0.35">
      <c r="A23" s="58" t="s">
        <v>104</v>
      </c>
      <c r="B23" s="61"/>
      <c r="C23" s="61"/>
      <c r="D23" s="333"/>
      <c r="E23" s="33">
        <f>SUM(E15:E22)</f>
        <v>235.8</v>
      </c>
      <c r="F23" s="34">
        <f>SUM(F15:F22)</f>
        <v>561.79999999999995</v>
      </c>
      <c r="G23" s="641">
        <f>+E23/I23</f>
        <v>0.72331288343558287</v>
      </c>
      <c r="H23" s="58"/>
      <c r="I23" s="104">
        <f>SUM(I15:I22)</f>
        <v>326</v>
      </c>
      <c r="J23" s="35">
        <f>SUM(J15:J22)</f>
        <v>298.83333333333337</v>
      </c>
      <c r="K23" s="35">
        <f>SUM(K15:K22)</f>
        <v>369.1</v>
      </c>
      <c r="L23" s="158">
        <f>SUM(L15:L22)</f>
        <v>-70.266666666666637</v>
      </c>
      <c r="M23" s="44"/>
      <c r="N23" s="334"/>
      <c r="O23" s="328">
        <f>SUM(O15:O22)</f>
        <v>927</v>
      </c>
      <c r="P23" s="329">
        <f>SUM(P15:P22)</f>
        <v>1488</v>
      </c>
      <c r="Q23" s="641">
        <f>+O23/S23</f>
        <v>1.6524064171122994</v>
      </c>
      <c r="R23" s="331"/>
      <c r="S23" s="330">
        <v>561</v>
      </c>
      <c r="T23" s="331">
        <f>SUM(T15:T22)</f>
        <v>514.25</v>
      </c>
      <c r="U23" s="331">
        <f>SUM(U15:U22)</f>
        <v>802.75</v>
      </c>
      <c r="V23" s="332">
        <f>SUM(V15:V22)</f>
        <v>-288.5</v>
      </c>
      <c r="X23" s="342"/>
      <c r="Y23" s="59">
        <f>SUM(Y15:Y22)</f>
        <v>297.8</v>
      </c>
      <c r="Z23" s="60">
        <f>SUM(Z15:Z22)</f>
        <v>648.79999999999995</v>
      </c>
      <c r="AA23" s="641">
        <f>+Y23/AC23</f>
        <v>0.84843304843304845</v>
      </c>
      <c r="AB23" s="61"/>
      <c r="AC23" s="106">
        <v>351</v>
      </c>
      <c r="AD23" s="58">
        <f>SUM(AD15:AD22)</f>
        <v>321.75</v>
      </c>
      <c r="AE23" s="58">
        <f>SUM(AE15:AE22)</f>
        <v>284.05</v>
      </c>
      <c r="AF23" s="179">
        <f>SUM(AF15:AF22)</f>
        <v>37.700000000000017</v>
      </c>
      <c r="AH23" s="343"/>
      <c r="AI23" s="36">
        <f>SUM(AI15:AI22)</f>
        <v>482.79999999999995</v>
      </c>
      <c r="AJ23" s="37">
        <f>SUM(AJ15:AJ22)</f>
        <v>1950.8</v>
      </c>
      <c r="AK23" s="641">
        <f>+AI23/AM23</f>
        <v>0.32888283378746591</v>
      </c>
      <c r="AL23" s="61"/>
      <c r="AM23" s="109">
        <v>1468</v>
      </c>
      <c r="AN23" s="38">
        <f>SUM(AN15:AN22)</f>
        <v>1345.6666666666667</v>
      </c>
      <c r="AO23" s="38">
        <f>SUM(AO15:AO22)</f>
        <v>433.23</v>
      </c>
      <c r="AP23" s="179">
        <f>SUM(AP15:AP22)</f>
        <v>912.43666666666672</v>
      </c>
      <c r="AR23" s="344"/>
      <c r="AS23" s="59">
        <f>SUM(AS15:AS22)</f>
        <v>329.4</v>
      </c>
      <c r="AT23" s="60">
        <f>SUM(AT15:AT22)</f>
        <v>780.4</v>
      </c>
      <c r="AU23" s="641">
        <f>+AS23/AW23</f>
        <v>0.73037694013303767</v>
      </c>
      <c r="AV23" s="124"/>
      <c r="AW23" s="106">
        <v>451</v>
      </c>
      <c r="AX23" s="58">
        <f>SUM(AX15:AX22)</f>
        <v>413.41666666666669</v>
      </c>
      <c r="AY23" s="58">
        <f>SUM(AY15:AY22)</f>
        <v>403.71</v>
      </c>
      <c r="AZ23" s="179">
        <f>SUM(AZ15:AZ22)</f>
        <v>9.7066666666666777</v>
      </c>
    </row>
    <row r="24" spans="1:52" s="8" customFormat="1" x14ac:dyDescent="0.3">
      <c r="A24" s="4"/>
      <c r="B24" s="4"/>
      <c r="C24" s="4"/>
      <c r="D24" s="213"/>
      <c r="E24" s="43"/>
      <c r="F24" s="44"/>
      <c r="G24" s="94"/>
      <c r="H24" s="162"/>
      <c r="I24" s="94"/>
      <c r="J24" s="45"/>
      <c r="K24" s="45"/>
      <c r="L24" s="161"/>
      <c r="M24" s="44"/>
      <c r="N24" s="271"/>
      <c r="O24" s="257"/>
      <c r="P24" s="253"/>
      <c r="Q24" s="242"/>
      <c r="R24" s="259"/>
      <c r="S24" s="242"/>
      <c r="T24" s="254"/>
      <c r="U24" s="254"/>
      <c r="V24" s="255"/>
      <c r="X24" s="274"/>
      <c r="Y24" s="51"/>
      <c r="Z24" s="177"/>
      <c r="AA24" s="242"/>
      <c r="AB24" s="181"/>
      <c r="AC24" s="172"/>
      <c r="AD24" s="52"/>
      <c r="AE24" s="52"/>
      <c r="AF24" s="178"/>
      <c r="AH24" s="169"/>
      <c r="AI24" s="39"/>
      <c r="AJ24" s="177"/>
      <c r="AK24" s="242"/>
      <c r="AL24" s="181"/>
      <c r="AM24" s="172"/>
      <c r="AN24" s="13"/>
      <c r="AO24" s="13"/>
      <c r="AP24" s="299"/>
      <c r="AR24" s="184"/>
      <c r="AS24" s="51"/>
      <c r="AT24" s="177"/>
      <c r="AU24" s="242"/>
      <c r="AV24" s="172"/>
      <c r="AW24" s="172"/>
      <c r="AX24" s="52"/>
      <c r="AY24" s="52"/>
      <c r="AZ24" s="178"/>
    </row>
    <row r="25" spans="1:52" s="8" customFormat="1" ht="15.6" x14ac:dyDescent="0.3">
      <c r="A25" s="15" t="s">
        <v>72</v>
      </c>
      <c r="D25" s="276"/>
      <c r="E25" s="277"/>
      <c r="F25" s="278"/>
      <c r="G25" s="278"/>
      <c r="H25" s="279"/>
      <c r="I25" s="280"/>
      <c r="J25" s="281"/>
      <c r="K25" s="281"/>
      <c r="L25" s="282"/>
      <c r="M25" s="44"/>
      <c r="N25" s="271"/>
      <c r="O25" s="244">
        <f>P25-S25</f>
        <v>0</v>
      </c>
      <c r="P25" s="260">
        <f>S25</f>
        <v>340</v>
      </c>
      <c r="Q25" s="639">
        <v>0</v>
      </c>
      <c r="R25" s="246"/>
      <c r="S25" s="261">
        <v>340</v>
      </c>
      <c r="T25" s="247">
        <f>S25/12*Summary!$G$31</f>
        <v>311.66666666666663</v>
      </c>
      <c r="U25" s="262">
        <f>T25</f>
        <v>311.66666666666663</v>
      </c>
      <c r="V25" s="249">
        <f t="shared" ref="V25" si="22">T25-U25</f>
        <v>0</v>
      </c>
      <c r="X25" s="274"/>
      <c r="Y25" s="200">
        <f>Z25-AC25</f>
        <v>0</v>
      </c>
      <c r="Z25" s="149">
        <f>AC25</f>
        <v>400</v>
      </c>
      <c r="AA25" s="639">
        <v>0</v>
      </c>
      <c r="AB25" s="175"/>
      <c r="AC25" s="157">
        <v>400</v>
      </c>
      <c r="AD25" s="151">
        <f>AC25/12*Summary!$G$31</f>
        <v>366.66666666666669</v>
      </c>
      <c r="AE25" s="323">
        <f>AD25</f>
        <v>366.66666666666669</v>
      </c>
      <c r="AF25" s="153">
        <f t="shared" ref="AF25" si="23">AD25-AE25</f>
        <v>0</v>
      </c>
      <c r="AH25" s="300"/>
      <c r="AI25" s="200">
        <f>AJ25-AM25</f>
        <v>0</v>
      </c>
      <c r="AJ25" s="149">
        <f>AM25</f>
        <v>670</v>
      </c>
      <c r="AK25" s="639">
        <v>0</v>
      </c>
      <c r="AL25" s="175"/>
      <c r="AM25" s="157">
        <v>670</v>
      </c>
      <c r="AN25" s="151">
        <f>AM25/12*Summary!$G$31</f>
        <v>614.16666666666674</v>
      </c>
      <c r="AO25" s="323">
        <f>AN25</f>
        <v>614.16666666666674</v>
      </c>
      <c r="AP25" s="153">
        <f t="shared" ref="AP25" si="24">AN25-AO25</f>
        <v>0</v>
      </c>
      <c r="AR25" s="184"/>
      <c r="AS25" s="200">
        <f>AT25-AW25</f>
        <v>0</v>
      </c>
      <c r="AT25" s="149">
        <f>AW25</f>
        <v>670</v>
      </c>
      <c r="AU25" s="639">
        <v>0</v>
      </c>
      <c r="AV25" s="150"/>
      <c r="AW25" s="157">
        <v>670</v>
      </c>
      <c r="AX25" s="151">
        <f>AW25/12*Summary!$G$31</f>
        <v>614.16666666666674</v>
      </c>
      <c r="AY25" s="323">
        <f>AX25</f>
        <v>614.16666666666674</v>
      </c>
      <c r="AZ25" s="153">
        <f>AX25-AY25</f>
        <v>0</v>
      </c>
    </row>
    <row r="26" spans="1:52" s="8" customFormat="1" x14ac:dyDescent="0.3">
      <c r="D26" s="208"/>
      <c r="E26" s="9"/>
      <c r="F26" s="9"/>
      <c r="G26" s="9"/>
      <c r="H26" s="9"/>
      <c r="I26" s="9"/>
      <c r="J26" s="9"/>
      <c r="K26" s="9"/>
      <c r="L26" s="185"/>
      <c r="M26" s="78"/>
      <c r="N26" s="269"/>
      <c r="O26" s="257"/>
      <c r="P26" s="253"/>
      <c r="Q26" s="242"/>
      <c r="R26" s="246"/>
      <c r="S26" s="242"/>
      <c r="T26" s="247"/>
      <c r="U26" s="247"/>
      <c r="V26" s="249"/>
      <c r="X26" s="274"/>
      <c r="Y26" s="51"/>
      <c r="Z26" s="177"/>
      <c r="AA26" s="242"/>
      <c r="AB26" s="175"/>
      <c r="AC26" s="172"/>
      <c r="AD26" s="151"/>
      <c r="AE26" s="323"/>
      <c r="AF26" s="153"/>
      <c r="AH26" s="169"/>
      <c r="AI26" s="200"/>
      <c r="AJ26" s="177"/>
      <c r="AK26" s="242"/>
      <c r="AL26" s="175"/>
      <c r="AM26" s="172"/>
      <c r="AN26" s="151"/>
      <c r="AO26" s="117"/>
      <c r="AP26" s="298"/>
      <c r="AR26" s="184"/>
      <c r="AS26" s="51"/>
      <c r="AT26" s="177"/>
      <c r="AU26" s="242"/>
      <c r="AV26" s="172"/>
      <c r="AW26" s="172"/>
      <c r="AX26" s="52"/>
      <c r="AY26" s="52"/>
      <c r="AZ26" s="178"/>
    </row>
    <row r="27" spans="1:52" ht="15" thickBot="1" x14ac:dyDescent="0.35">
      <c r="A27" s="58" t="s">
        <v>102</v>
      </c>
      <c r="B27" s="61"/>
      <c r="C27" s="61"/>
      <c r="D27" s="333"/>
      <c r="E27" s="33">
        <f>SUM(E13+E23)</f>
        <v>612.28</v>
      </c>
      <c r="F27" s="34">
        <f>SUM(F13+F23)</f>
        <v>2506.2799999999997</v>
      </c>
      <c r="G27" s="629">
        <f>+E27/I27</f>
        <v>0.32327349524815202</v>
      </c>
      <c r="H27" s="58"/>
      <c r="I27" s="104">
        <f>SUM(I13+I23)</f>
        <v>1894</v>
      </c>
      <c r="J27" s="35">
        <f>SUM(J13+J23)</f>
        <v>1736.1666666666665</v>
      </c>
      <c r="K27" s="35">
        <f>SUM(K13+K23)</f>
        <v>1630.1100000000001</v>
      </c>
      <c r="L27" s="158">
        <f>SUM(L13+L23)</f>
        <v>106.05666666666663</v>
      </c>
      <c r="M27" s="79"/>
      <c r="N27" s="341"/>
      <c r="O27" s="328">
        <f>O13+O23+O25</f>
        <v>1152.8</v>
      </c>
      <c r="P27" s="329">
        <f>P13+P23+P25</f>
        <v>3771.8</v>
      </c>
      <c r="Q27" s="629">
        <f>+O27/S27</f>
        <v>0.44016800305460096</v>
      </c>
      <c r="R27" s="331"/>
      <c r="S27" s="330">
        <v>2619</v>
      </c>
      <c r="T27" s="331">
        <f>T13+T23+T25</f>
        <v>2400.75</v>
      </c>
      <c r="U27" s="331">
        <f>U13+U23+U25</f>
        <v>2775.8366666666666</v>
      </c>
      <c r="V27" s="332">
        <f>V13+V23+V25</f>
        <v>-375.08666666666664</v>
      </c>
      <c r="X27" s="342"/>
      <c r="Y27" s="59">
        <f>Y13+Y23+Y25</f>
        <v>538.92000000000007</v>
      </c>
      <c r="Z27" s="60">
        <f>Z13+Z23+Z25</f>
        <v>2739.92</v>
      </c>
      <c r="AA27" s="629">
        <f>+Y27/AC27</f>
        <v>0.24485233984552479</v>
      </c>
      <c r="AB27" s="61"/>
      <c r="AC27" s="106">
        <v>2201</v>
      </c>
      <c r="AD27" s="58">
        <f>AD13+AD23+AD25</f>
        <v>2017.5833333333333</v>
      </c>
      <c r="AE27" s="650">
        <f>AE13+AE23+AE25</f>
        <v>2149.7066666666665</v>
      </c>
      <c r="AF27" s="179">
        <f>AF13+AF23+AF25</f>
        <v>-132.12333333333336</v>
      </c>
      <c r="AH27" s="343"/>
      <c r="AI27" s="36">
        <f>AI13+AI23+AI25</f>
        <v>1133.8</v>
      </c>
      <c r="AJ27" s="37">
        <f>AJ13+AJ23+AJ25</f>
        <v>5754.8</v>
      </c>
      <c r="AK27" s="629">
        <f>+AI27/AM27</f>
        <v>0.24535814758710234</v>
      </c>
      <c r="AL27" s="61"/>
      <c r="AM27" s="109">
        <v>4621</v>
      </c>
      <c r="AN27" s="38">
        <f>AN13+AN23+AN25</f>
        <v>4235.916666666667</v>
      </c>
      <c r="AO27" s="38">
        <f>AO13+AO23+AO25</f>
        <v>4462.586666666667</v>
      </c>
      <c r="AP27" s="555">
        <f>AP13+AP23+AP25</f>
        <v>-226.6700000000003</v>
      </c>
      <c r="AR27" s="345"/>
      <c r="AS27" s="59">
        <f>AS13+AS23+AS25</f>
        <v>602.4</v>
      </c>
      <c r="AT27" s="60">
        <f>AT13+AT23+AT25</f>
        <v>3659.4</v>
      </c>
      <c r="AU27" s="629">
        <f>+AS27/AW27</f>
        <v>0.19705593719332679</v>
      </c>
      <c r="AV27" s="124"/>
      <c r="AW27" s="106">
        <v>3057</v>
      </c>
      <c r="AX27" s="58">
        <f>AX13+AX23+AX25</f>
        <v>2802.25</v>
      </c>
      <c r="AY27" s="58">
        <f>AY13+AY23+AY25</f>
        <v>3056.6366666666663</v>
      </c>
      <c r="AZ27" s="179">
        <f>AZ13+AZ23+AZ25</f>
        <v>-254.38666666666668</v>
      </c>
    </row>
    <row r="28" spans="1:52" x14ac:dyDescent="0.3">
      <c r="A28" s="4"/>
      <c r="B28" s="4"/>
      <c r="C28" s="4"/>
      <c r="D28" s="213"/>
      <c r="E28" s="43"/>
      <c r="F28" s="159"/>
      <c r="G28" s="160"/>
      <c r="H28" s="162"/>
      <c r="I28" s="145"/>
      <c r="J28" s="45"/>
      <c r="K28" s="45"/>
      <c r="L28" s="161"/>
      <c r="M28" s="79"/>
      <c r="N28" s="270"/>
      <c r="O28" s="257"/>
      <c r="P28" s="253"/>
      <c r="Q28" s="160"/>
      <c r="R28" s="259"/>
      <c r="S28" s="242"/>
      <c r="T28" s="254"/>
      <c r="U28" s="254"/>
      <c r="V28" s="255"/>
      <c r="X28" s="274"/>
      <c r="Y28" s="51"/>
      <c r="Z28" s="177"/>
      <c r="AA28" s="160"/>
      <c r="AB28" s="181"/>
      <c r="AC28" s="172"/>
      <c r="AD28" s="52"/>
      <c r="AE28" s="470"/>
      <c r="AF28" s="178"/>
      <c r="AH28" s="169"/>
      <c r="AI28" s="200"/>
      <c r="AJ28" s="177"/>
      <c r="AK28" s="160"/>
      <c r="AL28" s="181"/>
      <c r="AM28" s="172"/>
      <c r="AN28" s="117"/>
      <c r="AO28" s="117"/>
      <c r="AP28" s="298"/>
      <c r="AR28" s="135"/>
      <c r="AS28" s="51"/>
      <c r="AT28" s="177"/>
      <c r="AU28" s="160"/>
      <c r="AV28" s="172"/>
      <c r="AW28" s="172"/>
      <c r="AX28" s="52"/>
      <c r="AY28" s="52"/>
      <c r="AZ28" s="178"/>
    </row>
    <row r="29" spans="1:52" ht="15.6" x14ac:dyDescent="0.3">
      <c r="A29" s="5" t="s">
        <v>78</v>
      </c>
      <c r="B29" s="5"/>
      <c r="C29" s="5"/>
      <c r="D29" s="213"/>
      <c r="E29" s="200">
        <f>F29-I29</f>
        <v>0</v>
      </c>
      <c r="F29" s="149">
        <v>1000</v>
      </c>
      <c r="G29" s="639">
        <f t="shared" ref="G29" si="25">+E29/I29</f>
        <v>0</v>
      </c>
      <c r="H29" s="163"/>
      <c r="I29" s="156">
        <v>1000</v>
      </c>
      <c r="J29" s="151">
        <f>I29/12*Summary!$G$31</f>
        <v>916.66666666666663</v>
      </c>
      <c r="K29" s="164">
        <f>J29</f>
        <v>916.66666666666663</v>
      </c>
      <c r="L29" s="153">
        <f>J29-K29</f>
        <v>0</v>
      </c>
      <c r="M29" s="44"/>
      <c r="N29" s="271"/>
      <c r="O29" s="244">
        <f>P29-S29</f>
        <v>0</v>
      </c>
      <c r="P29" s="260">
        <v>3700</v>
      </c>
      <c r="Q29" s="639">
        <f t="shared" ref="Q29" si="26">+O29/S29</f>
        <v>0</v>
      </c>
      <c r="R29" s="259"/>
      <c r="S29" s="261">
        <v>3700</v>
      </c>
      <c r="T29" s="247">
        <f>S29/12*Summary!$G$31</f>
        <v>3391.6666666666665</v>
      </c>
      <c r="U29" s="262">
        <f>T29</f>
        <v>3391.6666666666665</v>
      </c>
      <c r="V29" s="249">
        <f t="shared" ref="V29" si="27">T29-U29</f>
        <v>0</v>
      </c>
      <c r="X29" s="274"/>
      <c r="Y29" s="200">
        <f>Z29-AC29</f>
        <v>500</v>
      </c>
      <c r="Z29" s="149">
        <v>1500</v>
      </c>
      <c r="AA29" s="639">
        <f t="shared" ref="AA29" si="28">+Y29/AC29</f>
        <v>0.5</v>
      </c>
      <c r="AB29" s="181"/>
      <c r="AC29" s="157">
        <v>1000</v>
      </c>
      <c r="AD29" s="151">
        <f>AC29/12*Summary!$G$31</f>
        <v>916.66666666666663</v>
      </c>
      <c r="AE29" s="323">
        <f>AD29</f>
        <v>916.66666666666663</v>
      </c>
      <c r="AF29" s="153">
        <f t="shared" ref="AF29" si="29">AD29-AE29</f>
        <v>0</v>
      </c>
      <c r="AH29" s="300"/>
      <c r="AI29" s="200">
        <f>AJ29-AM29</f>
        <v>500</v>
      </c>
      <c r="AJ29" s="149">
        <v>5000</v>
      </c>
      <c r="AK29" s="639">
        <f t="shared" ref="AK29" si="30">+AI29/AM29</f>
        <v>0.1111111111111111</v>
      </c>
      <c r="AL29" s="181"/>
      <c r="AM29" s="157">
        <v>4500</v>
      </c>
      <c r="AN29" s="151">
        <f>AM29/12*Summary!$G$31</f>
        <v>4125</v>
      </c>
      <c r="AO29" s="323">
        <f>AN29</f>
        <v>4125</v>
      </c>
      <c r="AP29" s="153">
        <f t="shared" ref="AP29" si="31">AN29-AO29</f>
        <v>0</v>
      </c>
      <c r="AR29" s="135"/>
      <c r="AS29" s="200">
        <f>AT29-AW29</f>
        <v>1000</v>
      </c>
      <c r="AT29" s="149">
        <v>8000</v>
      </c>
      <c r="AU29" s="639">
        <f t="shared" ref="AU29" si="32">+AS29/AW29</f>
        <v>0.14285714285714285</v>
      </c>
      <c r="AV29" s="150"/>
      <c r="AW29" s="157">
        <v>7000</v>
      </c>
      <c r="AX29" s="151">
        <f>AW29/12*Summary!$G$31</f>
        <v>6416.666666666667</v>
      </c>
      <c r="AY29" s="323">
        <f>AX29</f>
        <v>6416.666666666667</v>
      </c>
      <c r="AZ29" s="153">
        <f>AX29-AY29</f>
        <v>0</v>
      </c>
    </row>
    <row r="30" spans="1:52" x14ac:dyDescent="0.3">
      <c r="A30" s="5"/>
      <c r="B30" s="5"/>
      <c r="C30" s="5"/>
      <c r="D30" s="213"/>
      <c r="E30" s="200"/>
      <c r="F30" s="156"/>
      <c r="G30" s="150"/>
      <c r="H30" s="163"/>
      <c r="I30" s="157"/>
      <c r="J30" s="151"/>
      <c r="K30" s="151"/>
      <c r="L30" s="153"/>
      <c r="N30" s="272"/>
      <c r="O30" s="257"/>
      <c r="P30" s="253"/>
      <c r="Q30" s="150"/>
      <c r="R30" s="259"/>
      <c r="S30" s="242"/>
      <c r="T30" s="247"/>
      <c r="U30" s="247"/>
      <c r="V30" s="249"/>
      <c r="X30" s="274"/>
      <c r="Y30" s="51"/>
      <c r="Z30" s="177"/>
      <c r="AA30" s="150"/>
      <c r="AB30" s="181"/>
      <c r="AC30" s="172"/>
      <c r="AD30" s="151"/>
      <c r="AE30" s="151"/>
      <c r="AF30" s="153"/>
      <c r="AH30" s="169"/>
      <c r="AI30" s="200"/>
      <c r="AJ30" s="177"/>
      <c r="AK30" s="150"/>
      <c r="AL30" s="181"/>
      <c r="AM30" s="172"/>
      <c r="AN30" s="151"/>
      <c r="AO30" s="117"/>
      <c r="AP30" s="298"/>
      <c r="AR30" s="135"/>
      <c r="AS30" s="201"/>
      <c r="AT30" s="303"/>
      <c r="AU30" s="150"/>
      <c r="AV30" s="304"/>
      <c r="AW30" s="304"/>
      <c r="AX30" s="61"/>
      <c r="AY30" s="61"/>
      <c r="AZ30" s="204"/>
    </row>
    <row r="31" spans="1:52" ht="15" thickBot="1" x14ac:dyDescent="0.35">
      <c r="A31" s="58" t="s">
        <v>0</v>
      </c>
      <c r="B31" s="61"/>
      <c r="C31" s="61"/>
      <c r="D31" s="333"/>
      <c r="E31" s="33">
        <f>SUM(E27:E29)</f>
        <v>612.28</v>
      </c>
      <c r="F31" s="34">
        <f>SUM(F27:F29)</f>
        <v>3506.2799999999997</v>
      </c>
      <c r="G31" s="629">
        <f>+E31/I31</f>
        <v>0.2115687629578438</v>
      </c>
      <c r="H31" s="58"/>
      <c r="I31" s="104">
        <f>SUM(I27:I29)</f>
        <v>2894</v>
      </c>
      <c r="J31" s="46">
        <f>SUM(J27:J29)</f>
        <v>2652.833333333333</v>
      </c>
      <c r="K31" s="46">
        <f>SUM(K27:K29)</f>
        <v>2546.7766666666666</v>
      </c>
      <c r="L31" s="166">
        <f>SUM(L27:L29)</f>
        <v>106.05666666666663</v>
      </c>
      <c r="M31"/>
      <c r="N31" s="335"/>
      <c r="O31" s="336">
        <f t="shared" ref="O31" si="33">SUM(O27:O30)</f>
        <v>1152.8</v>
      </c>
      <c r="P31" s="337">
        <f t="shared" ref="P31" si="34">SUM(P27:P30)</f>
        <v>7471.8</v>
      </c>
      <c r="Q31" s="629">
        <f>+O31/S31</f>
        <v>0.18243392941921188</v>
      </c>
      <c r="R31" s="331"/>
      <c r="S31" s="338">
        <f t="shared" ref="S31:V31" si="35">SUM(S27:S30)</f>
        <v>6319</v>
      </c>
      <c r="T31" s="339">
        <f t="shared" si="35"/>
        <v>5792.4166666666661</v>
      </c>
      <c r="U31" s="339">
        <f t="shared" si="35"/>
        <v>6167.5033333333331</v>
      </c>
      <c r="V31" s="340">
        <f t="shared" si="35"/>
        <v>-375.08666666666664</v>
      </c>
      <c r="X31" s="342"/>
      <c r="Y31" s="53">
        <f t="shared" ref="Y31:Z31" si="36">SUM(Y27:Y30)</f>
        <v>1038.92</v>
      </c>
      <c r="Z31" s="54">
        <f t="shared" si="36"/>
        <v>4239.92</v>
      </c>
      <c r="AA31" s="629">
        <f>+Y31/AC31</f>
        <v>0.32456107466416745</v>
      </c>
      <c r="AB31" s="165"/>
      <c r="AC31" s="107">
        <f t="shared" ref="AC31:AF31" si="37">SUM(AC27:AC30)</f>
        <v>3201</v>
      </c>
      <c r="AD31" s="55">
        <f t="shared" si="37"/>
        <v>2934.25</v>
      </c>
      <c r="AE31" s="55">
        <f t="shared" si="37"/>
        <v>3066.373333333333</v>
      </c>
      <c r="AF31" s="183">
        <f t="shared" si="37"/>
        <v>-132.12333333333336</v>
      </c>
      <c r="AH31" s="343"/>
      <c r="AI31" s="40">
        <f t="shared" ref="AI31" si="38">SUM(AI27:AI30)</f>
        <v>1633.8</v>
      </c>
      <c r="AJ31" s="41">
        <f t="shared" ref="AJ31" si="39">SUM(AJ27:AJ30)</f>
        <v>10754.8</v>
      </c>
      <c r="AK31" s="629">
        <f>+AI31/AM31</f>
        <v>0.17912509593246354</v>
      </c>
      <c r="AL31" s="165"/>
      <c r="AM31" s="105">
        <f t="shared" ref="AM31:AP31" si="40">SUM(AM27:AM30)</f>
        <v>9121</v>
      </c>
      <c r="AN31" s="16">
        <f t="shared" si="40"/>
        <v>8360.9166666666679</v>
      </c>
      <c r="AO31" s="16">
        <f t="shared" si="40"/>
        <v>8587.5866666666661</v>
      </c>
      <c r="AP31" s="183">
        <f t="shared" si="40"/>
        <v>-226.6700000000003</v>
      </c>
      <c r="AR31" s="344"/>
      <c r="AS31" s="53">
        <f t="shared" ref="AS31:AT31" si="41">SUM(AS27:AS30)</f>
        <v>1602.4</v>
      </c>
      <c r="AT31" s="54">
        <f t="shared" si="41"/>
        <v>11659.4</v>
      </c>
      <c r="AU31" s="629">
        <f>+AS31/AW31</f>
        <v>0.15933180869046437</v>
      </c>
      <c r="AV31" s="182"/>
      <c r="AW31" s="107">
        <f t="shared" ref="AW31:AZ31" si="42">SUM(AW27:AW30)</f>
        <v>10057</v>
      </c>
      <c r="AX31" s="55">
        <f t="shared" si="42"/>
        <v>9218.9166666666679</v>
      </c>
      <c r="AY31" s="55">
        <f t="shared" si="42"/>
        <v>9473.3033333333333</v>
      </c>
      <c r="AZ31" s="183">
        <f t="shared" si="42"/>
        <v>-254.38666666666668</v>
      </c>
    </row>
    <row r="32" spans="1:52" x14ac:dyDescent="0.3">
      <c r="A32" s="61"/>
      <c r="B32" s="61"/>
      <c r="C32" s="61"/>
      <c r="D32" s="215"/>
      <c r="E32" s="43"/>
      <c r="F32" s="44"/>
      <c r="G32" s="655"/>
      <c r="H32" s="61"/>
      <c r="I32" s="94"/>
      <c r="J32" s="205"/>
      <c r="K32" s="205"/>
      <c r="L32" s="205"/>
      <c r="M32"/>
      <c r="N32" s="305"/>
      <c r="O32" s="306"/>
      <c r="P32" s="307"/>
      <c r="Q32" s="655"/>
      <c r="R32" s="256"/>
      <c r="S32" s="308"/>
      <c r="T32" s="309"/>
      <c r="U32" s="309"/>
      <c r="V32" s="309"/>
      <c r="X32" s="114"/>
      <c r="Y32" s="202"/>
      <c r="Z32" s="85"/>
      <c r="AA32" s="655"/>
      <c r="AB32" s="61"/>
      <c r="AC32" s="125"/>
      <c r="AD32" s="203"/>
      <c r="AE32" s="203"/>
      <c r="AF32" s="203"/>
      <c r="AH32" s="117"/>
      <c r="AI32" s="310"/>
      <c r="AJ32" s="84"/>
      <c r="AK32" s="655"/>
      <c r="AL32" s="61"/>
      <c r="AM32" s="123"/>
      <c r="AN32" s="311"/>
      <c r="AO32" s="311"/>
      <c r="AP32" s="203"/>
      <c r="AR32" s="6"/>
      <c r="AS32" s="202"/>
      <c r="AT32" s="85"/>
      <c r="AU32" s="655"/>
      <c r="AV32" s="125"/>
      <c r="AW32" s="125"/>
      <c r="AX32" s="203"/>
      <c r="AY32" s="203"/>
      <c r="AZ32" s="203"/>
    </row>
    <row r="33" spans="1:52" ht="15" thickBot="1" x14ac:dyDescent="0.35">
      <c r="A33" s="704"/>
      <c r="B33" s="61"/>
      <c r="C33" s="61"/>
      <c r="D33" s="215"/>
      <c r="E33" s="43"/>
      <c r="F33" s="44"/>
      <c r="G33" s="94"/>
      <c r="H33" s="61"/>
      <c r="I33" s="94"/>
      <c r="J33" s="205"/>
      <c r="K33" s="205"/>
      <c r="L33" s="205"/>
      <c r="M33"/>
      <c r="N33" s="305"/>
      <c r="O33" s="306"/>
      <c r="P33" s="307"/>
      <c r="Q33" s="308"/>
      <c r="R33" s="256"/>
      <c r="S33" s="308"/>
      <c r="T33" s="309"/>
      <c r="U33" s="309"/>
      <c r="V33" s="309"/>
      <c r="X33" s="114"/>
      <c r="Y33" s="202"/>
      <c r="Z33" s="85"/>
      <c r="AB33" s="61"/>
      <c r="AC33" s="125"/>
      <c r="AD33" s="203"/>
      <c r="AE33" s="203"/>
      <c r="AF33" s="203"/>
      <c r="AH33" s="117"/>
      <c r="AI33" s="310"/>
      <c r="AJ33" s="84"/>
      <c r="AK33" s="84"/>
      <c r="AL33" s="61"/>
      <c r="AM33" s="123"/>
      <c r="AN33" s="311"/>
      <c r="AO33" s="311"/>
      <c r="AP33" s="311"/>
      <c r="AR33" s="6"/>
      <c r="AS33" s="202"/>
      <c r="AT33" s="85"/>
      <c r="AU33" s="653"/>
      <c r="AV33" s="125"/>
      <c r="AW33" s="125"/>
      <c r="AX33" s="203"/>
      <c r="AY33" s="203"/>
      <c r="AZ33" s="203"/>
    </row>
    <row r="34" spans="1:52" ht="21.6" thickBot="1" x14ac:dyDescent="0.45">
      <c r="A34" s="704"/>
      <c r="B34" s="10"/>
      <c r="C34" s="10"/>
      <c r="D34" s="217"/>
      <c r="E34" s="807" t="s">
        <v>118</v>
      </c>
      <c r="F34" s="808"/>
      <c r="G34" s="808"/>
      <c r="H34" s="808"/>
      <c r="I34" s="808"/>
      <c r="J34" s="808"/>
      <c r="K34" s="808"/>
      <c r="L34" s="808"/>
      <c r="M34" s="809"/>
      <c r="N34" s="305"/>
      <c r="O34" s="807" t="s">
        <v>143</v>
      </c>
      <c r="P34" s="808"/>
      <c r="Q34" s="808"/>
      <c r="R34" s="808"/>
      <c r="S34" s="808"/>
      <c r="T34" s="808"/>
      <c r="U34" s="808"/>
      <c r="V34" s="808"/>
      <c r="W34" s="809"/>
      <c r="X34" s="114"/>
      <c r="Y34" s="202"/>
      <c r="Z34" s="85"/>
      <c r="AB34" s="61"/>
      <c r="AC34" s="125"/>
      <c r="AD34" s="203"/>
      <c r="AE34" s="203"/>
      <c r="AF34" s="203"/>
      <c r="AH34" s="117"/>
      <c r="AI34" s="310"/>
      <c r="AJ34" s="84"/>
      <c r="AK34" s="84"/>
      <c r="AL34" s="61"/>
      <c r="AM34" s="123"/>
      <c r="AN34" s="311"/>
      <c r="AO34" s="311"/>
      <c r="AP34" s="311"/>
      <c r="AR34" s="6"/>
      <c r="AS34" s="202"/>
      <c r="AT34" s="85"/>
      <c r="AU34" s="653"/>
      <c r="AV34" s="125"/>
      <c r="AW34" s="125"/>
      <c r="AX34" s="203"/>
      <c r="AY34" s="203"/>
      <c r="AZ34" s="203"/>
    </row>
    <row r="35" spans="1:52" x14ac:dyDescent="0.3">
      <c r="A35" s="704"/>
      <c r="B35" s="11"/>
      <c r="C35" s="11"/>
      <c r="D35" s="218"/>
      <c r="E35" s="169"/>
      <c r="F35" s="117"/>
      <c r="G35" s="170"/>
      <c r="H35" s="298"/>
      <c r="I35" s="169"/>
      <c r="J35" s="172"/>
      <c r="K35" s="172"/>
      <c r="L35" s="172"/>
      <c r="M35" s="173"/>
      <c r="N35" s="305"/>
      <c r="O35" s="662"/>
      <c r="P35" s="191"/>
      <c r="Q35" s="664"/>
      <c r="R35" s="663"/>
      <c r="S35" s="117"/>
      <c r="T35" s="172"/>
      <c r="U35" s="172"/>
      <c r="V35" s="172"/>
      <c r="W35" s="173"/>
      <c r="X35" s="114"/>
      <c r="Y35" s="202"/>
      <c r="Z35" s="85"/>
      <c r="AB35" s="61"/>
      <c r="AC35" s="125"/>
      <c r="AD35" s="203"/>
      <c r="AE35" s="203"/>
      <c r="AF35" s="203"/>
      <c r="AH35" s="117"/>
      <c r="AI35" s="310"/>
      <c r="AJ35" s="84"/>
      <c r="AK35" s="84"/>
      <c r="AL35" s="61"/>
      <c r="AM35" s="123"/>
      <c r="AN35" s="311"/>
      <c r="AO35" s="311"/>
      <c r="AP35" s="311"/>
      <c r="AR35" s="6"/>
      <c r="AS35" s="202"/>
      <c r="AT35" s="85"/>
      <c r="AU35" s="653"/>
      <c r="AV35" s="125"/>
      <c r="AW35" s="125"/>
      <c r="AX35" s="203"/>
      <c r="AY35" s="203"/>
      <c r="AZ35" s="203"/>
    </row>
    <row r="36" spans="1:52" ht="21" x14ac:dyDescent="0.4">
      <c r="A36" s="704"/>
      <c r="B36" s="14"/>
      <c r="C36" s="14"/>
      <c r="D36" s="219"/>
      <c r="E36" s="813" t="s">
        <v>280</v>
      </c>
      <c r="F36" s="814"/>
      <c r="G36" s="814"/>
      <c r="H36" s="656"/>
      <c r="I36" s="825">
        <v>2021</v>
      </c>
      <c r="J36" s="792"/>
      <c r="K36" s="792"/>
      <c r="L36" s="792"/>
      <c r="M36" s="793"/>
      <c r="N36" s="305"/>
      <c r="O36" s="815" t="s">
        <v>280</v>
      </c>
      <c r="P36" s="816"/>
      <c r="Q36" s="817"/>
      <c r="R36" s="656"/>
      <c r="S36" s="627">
        <v>2021</v>
      </c>
      <c r="T36" s="623"/>
      <c r="U36" s="623"/>
      <c r="V36" s="623"/>
      <c r="W36" s="624"/>
      <c r="X36" s="114"/>
      <c r="Y36" s="202"/>
      <c r="Z36" s="85"/>
      <c r="AB36" s="61"/>
      <c r="AC36" s="125"/>
      <c r="AD36" s="203"/>
      <c r="AE36" s="203"/>
      <c r="AF36" s="203"/>
      <c r="AH36" s="117"/>
      <c r="AI36" s="310"/>
      <c r="AJ36" s="84"/>
      <c r="AK36" s="84"/>
      <c r="AL36" s="61"/>
      <c r="AM36" s="123"/>
      <c r="AN36" s="311"/>
      <c r="AO36" s="311"/>
      <c r="AP36" s="311"/>
      <c r="AR36" s="6"/>
      <c r="AS36" s="202"/>
      <c r="AT36" s="85"/>
      <c r="AU36" s="653"/>
      <c r="AV36" s="125"/>
      <c r="AW36" s="125"/>
      <c r="AX36" s="203"/>
      <c r="AY36" s="203"/>
      <c r="AZ36" s="203"/>
    </row>
    <row r="37" spans="1:52" x14ac:dyDescent="0.3">
      <c r="A37" s="100"/>
      <c r="B37" s="9"/>
      <c r="C37" s="9"/>
      <c r="D37" s="214"/>
      <c r="E37" s="818" t="s">
        <v>279</v>
      </c>
      <c r="F37" s="796" t="s">
        <v>33</v>
      </c>
      <c r="G37" s="806" t="s">
        <v>276</v>
      </c>
      <c r="I37" s="659" t="s">
        <v>101</v>
      </c>
      <c r="J37" s="660"/>
      <c r="K37" s="112" t="s">
        <v>82</v>
      </c>
      <c r="L37" s="112" t="s">
        <v>76</v>
      </c>
      <c r="M37" s="186"/>
      <c r="N37" s="305"/>
      <c r="O37" s="818" t="s">
        <v>279</v>
      </c>
      <c r="P37" s="796" t="s">
        <v>33</v>
      </c>
      <c r="Q37" s="806" t="s">
        <v>276</v>
      </c>
      <c r="R37" s="186"/>
      <c r="S37" s="661" t="s">
        <v>281</v>
      </c>
      <c r="T37" s="76"/>
      <c r="U37" s="112" t="s">
        <v>82</v>
      </c>
      <c r="V37" s="112" t="s">
        <v>76</v>
      </c>
      <c r="W37" s="186"/>
      <c r="X37" s="114"/>
      <c r="Y37" s="202"/>
      <c r="Z37" s="85"/>
      <c r="AB37" s="61"/>
      <c r="AC37" s="125"/>
      <c r="AD37" s="203"/>
      <c r="AE37" s="203"/>
      <c r="AF37" s="203"/>
      <c r="AH37" s="117"/>
      <c r="AI37" s="310"/>
      <c r="AJ37" s="84"/>
      <c r="AK37" s="84"/>
      <c r="AL37" s="61"/>
      <c r="AM37" s="123"/>
      <c r="AN37" s="311"/>
      <c r="AO37" s="311"/>
      <c r="AP37" s="311"/>
      <c r="AR37" s="6"/>
      <c r="AS37" s="202"/>
      <c r="AT37" s="85"/>
      <c r="AU37" s="653"/>
      <c r="AV37" s="125"/>
      <c r="AW37" s="125"/>
      <c r="AX37" s="203"/>
      <c r="AY37" s="203"/>
      <c r="AZ37" s="203"/>
    </row>
    <row r="38" spans="1:52" x14ac:dyDescent="0.3">
      <c r="A38" s="9"/>
      <c r="B38" s="9"/>
      <c r="C38" s="9"/>
      <c r="D38" s="214"/>
      <c r="E38" s="819"/>
      <c r="F38" s="797"/>
      <c r="G38" s="805"/>
      <c r="H38" s="185"/>
      <c r="I38" s="565" t="s">
        <v>100</v>
      </c>
      <c r="J38" s="142" t="s">
        <v>130</v>
      </c>
      <c r="K38" s="393" t="str">
        <f>Summary!$H$31</f>
        <v>November</v>
      </c>
      <c r="L38" s="187" t="s">
        <v>131</v>
      </c>
      <c r="M38" s="186"/>
      <c r="N38" s="305"/>
      <c r="O38" s="819"/>
      <c r="P38" s="797"/>
      <c r="Q38" s="805"/>
      <c r="R38" s="185"/>
      <c r="S38" s="102" t="s">
        <v>100</v>
      </c>
      <c r="T38" s="142" t="s">
        <v>130</v>
      </c>
      <c r="U38" s="393" t="str">
        <f>Summary!$H$31</f>
        <v>November</v>
      </c>
      <c r="V38" s="187" t="s">
        <v>131</v>
      </c>
      <c r="W38" s="186"/>
      <c r="X38" s="114"/>
      <c r="Y38" s="202"/>
      <c r="Z38" s="85"/>
      <c r="AB38" s="61"/>
      <c r="AC38" s="125"/>
      <c r="AD38" s="203"/>
      <c r="AE38" s="203"/>
      <c r="AF38" s="203"/>
      <c r="AH38" s="117"/>
      <c r="AI38" s="310"/>
      <c r="AJ38" s="84"/>
      <c r="AK38" s="84"/>
      <c r="AL38" s="61"/>
      <c r="AM38" s="123"/>
      <c r="AN38" s="311"/>
      <c r="AO38" s="311"/>
      <c r="AP38" s="311"/>
      <c r="AR38" s="6"/>
      <c r="AS38" s="202"/>
      <c r="AT38" s="85"/>
      <c r="AU38" s="653"/>
      <c r="AV38" s="125"/>
      <c r="AW38" s="125"/>
      <c r="AX38" s="203"/>
      <c r="AY38" s="203"/>
      <c r="AZ38" s="203"/>
    </row>
    <row r="39" spans="1:52" x14ac:dyDescent="0.3">
      <c r="A39" s="11"/>
      <c r="B39" s="11"/>
      <c r="C39" s="11"/>
      <c r="D39" s="218"/>
      <c r="E39" s="169"/>
      <c r="F39" s="117"/>
      <c r="G39" s="170"/>
      <c r="H39" s="298"/>
      <c r="I39" s="566"/>
      <c r="J39" s="172"/>
      <c r="K39" s="172"/>
      <c r="L39" s="172"/>
      <c r="M39" s="186"/>
      <c r="N39" s="305"/>
      <c r="O39" s="169"/>
      <c r="P39" s="117"/>
      <c r="Q39" s="170"/>
      <c r="R39" s="298"/>
      <c r="S39" s="172"/>
      <c r="T39" s="172"/>
      <c r="U39" s="172"/>
      <c r="V39" s="172"/>
      <c r="W39" s="186"/>
      <c r="X39" s="114"/>
      <c r="Y39" s="202"/>
      <c r="Z39" s="85"/>
      <c r="AB39" s="61"/>
      <c r="AC39" s="125"/>
      <c r="AD39" s="203"/>
      <c r="AE39" s="203"/>
      <c r="AF39" s="203"/>
      <c r="AH39" s="117"/>
      <c r="AI39" s="310"/>
      <c r="AJ39" s="84"/>
      <c r="AK39" s="84"/>
      <c r="AL39" s="61"/>
      <c r="AM39" s="123"/>
      <c r="AN39" s="311"/>
      <c r="AO39" s="311"/>
      <c r="AP39" s="311"/>
      <c r="AR39" s="6"/>
      <c r="AS39" s="202"/>
      <c r="AT39" s="85"/>
      <c r="AU39" s="653"/>
      <c r="AV39" s="125"/>
      <c r="AW39" s="125"/>
      <c r="AX39" s="203"/>
      <c r="AY39" s="203"/>
      <c r="AZ39" s="203"/>
    </row>
    <row r="40" spans="1:52" ht="15.6" x14ac:dyDescent="0.3">
      <c r="A40" s="12" t="s">
        <v>71</v>
      </c>
      <c r="B40" s="12"/>
      <c r="C40" s="12"/>
      <c r="D40" s="220"/>
      <c r="E40" s="148">
        <f>F40-I40</f>
        <v>0</v>
      </c>
      <c r="F40" s="149">
        <v>500</v>
      </c>
      <c r="G40" s="639">
        <f t="shared" ref="G40" si="43">+E40/I40</f>
        <v>0</v>
      </c>
      <c r="H40" s="657"/>
      <c r="I40" s="567">
        <v>500</v>
      </c>
      <c r="J40" s="151">
        <f>I40/12*Summary!$G$31</f>
        <v>458.33333333333331</v>
      </c>
      <c r="K40" s="164">
        <f>J40</f>
        <v>458.33333333333331</v>
      </c>
      <c r="L40" s="151">
        <f>J40-K40</f>
        <v>0</v>
      </c>
      <c r="M40" s="186"/>
      <c r="N40" s="305"/>
      <c r="O40" s="148">
        <f>P40-S40</f>
        <v>0</v>
      </c>
      <c r="P40" s="149">
        <v>440</v>
      </c>
      <c r="Q40" s="639">
        <f t="shared" ref="Q40" si="44">+O40/S40</f>
        <v>0</v>
      </c>
      <c r="R40" s="657"/>
      <c r="S40" s="157">
        <v>440</v>
      </c>
      <c r="T40" s="151">
        <f>S40/12*Summary!$G$31</f>
        <v>403.33333333333331</v>
      </c>
      <c r="U40" s="323">
        <f>T40</f>
        <v>403.33333333333331</v>
      </c>
      <c r="V40" s="151">
        <f>T40-U40</f>
        <v>0</v>
      </c>
      <c r="W40" s="186"/>
      <c r="X40" s="114"/>
      <c r="Y40" s="202"/>
      <c r="Z40" s="85"/>
      <c r="AB40" s="61"/>
      <c r="AC40" s="125"/>
      <c r="AD40" s="203"/>
      <c r="AE40" s="203"/>
      <c r="AF40" s="203"/>
      <c r="AH40" s="117"/>
      <c r="AI40" s="310"/>
      <c r="AJ40" s="84"/>
      <c r="AK40" s="84"/>
      <c r="AL40" s="61"/>
      <c r="AM40" s="123"/>
      <c r="AN40" s="311"/>
      <c r="AO40" s="311"/>
      <c r="AP40" s="311"/>
      <c r="AR40" s="6"/>
      <c r="AS40" s="202"/>
      <c r="AT40" s="85"/>
      <c r="AU40" s="653"/>
      <c r="AV40" s="125"/>
      <c r="AW40" s="125"/>
      <c r="AX40" s="203"/>
      <c r="AY40" s="203"/>
      <c r="AZ40" s="203"/>
    </row>
    <row r="41" spans="1:52" x14ac:dyDescent="0.3">
      <c r="A41" s="11"/>
      <c r="B41" s="11"/>
      <c r="C41" s="11"/>
      <c r="D41" s="218"/>
      <c r="E41" s="188"/>
      <c r="F41" s="177"/>
      <c r="G41" s="150"/>
      <c r="H41" s="298"/>
      <c r="I41" s="566"/>
      <c r="J41" s="47"/>
      <c r="K41" s="47"/>
      <c r="L41" s="47"/>
      <c r="M41" s="186"/>
      <c r="N41" s="305"/>
      <c r="O41" s="188"/>
      <c r="P41" s="177"/>
      <c r="Q41" s="150"/>
      <c r="R41" s="298"/>
      <c r="S41" s="172"/>
      <c r="T41" s="47"/>
      <c r="U41" s="47"/>
      <c r="V41" s="47"/>
      <c r="W41" s="186"/>
      <c r="X41" s="114"/>
      <c r="Y41" s="202"/>
      <c r="Z41" s="85"/>
      <c r="AB41" s="61"/>
      <c r="AC41" s="125"/>
      <c r="AD41" s="203"/>
      <c r="AE41" s="203"/>
      <c r="AF41" s="203"/>
      <c r="AH41" s="117"/>
      <c r="AI41" s="310"/>
      <c r="AJ41" s="84"/>
      <c r="AK41" s="84"/>
      <c r="AL41" s="61"/>
      <c r="AM41" s="123"/>
      <c r="AN41" s="311"/>
      <c r="AO41" s="311"/>
      <c r="AP41" s="311"/>
      <c r="AR41" s="6"/>
      <c r="AS41" s="202"/>
      <c r="AT41" s="85"/>
      <c r="AU41" s="653"/>
      <c r="AV41" s="125"/>
      <c r="AW41" s="125"/>
      <c r="AX41" s="203"/>
      <c r="AY41" s="203"/>
      <c r="AZ41" s="203"/>
    </row>
    <row r="42" spans="1:52" ht="15" thickBot="1" x14ac:dyDescent="0.35">
      <c r="A42" s="58" t="s">
        <v>102</v>
      </c>
      <c r="B42" s="61"/>
      <c r="C42" s="61"/>
      <c r="D42" s="215"/>
      <c r="E42" s="189">
        <f>SUM(E39:E41)</f>
        <v>0</v>
      </c>
      <c r="F42" s="56">
        <f>SUM(F39:F41)</f>
        <v>500</v>
      </c>
      <c r="G42" s="629">
        <f>+E42/I42</f>
        <v>0</v>
      </c>
      <c r="H42" s="204"/>
      <c r="I42" s="568">
        <v>500</v>
      </c>
      <c r="J42" s="57">
        <f>SUM(J39:J41)</f>
        <v>458.33333333333331</v>
      </c>
      <c r="K42" s="57">
        <f>SUM(K39:K41)</f>
        <v>458.33333333333331</v>
      </c>
      <c r="L42" s="57">
        <f>SUM(L39:L41)</f>
        <v>0</v>
      </c>
      <c r="M42" s="186"/>
      <c r="N42" s="305"/>
      <c r="O42" s="189">
        <f>SUM(O39:O41)</f>
        <v>0</v>
      </c>
      <c r="P42" s="56">
        <f>SUM(P39:P41)</f>
        <v>440</v>
      </c>
      <c r="Q42" s="629">
        <f>+O42/S42</f>
        <v>0</v>
      </c>
      <c r="R42" s="204"/>
      <c r="S42" s="110">
        <f>SUM(S39:S41)</f>
        <v>440</v>
      </c>
      <c r="T42" s="57">
        <f>SUM(T39:T41)</f>
        <v>403.33333333333331</v>
      </c>
      <c r="U42" s="57">
        <f>SUM(U39:U41)</f>
        <v>403.33333333333331</v>
      </c>
      <c r="V42" s="57">
        <f>SUM(V39:V41)</f>
        <v>0</v>
      </c>
      <c r="W42" s="186"/>
      <c r="X42" s="114"/>
      <c r="Y42" s="202"/>
      <c r="Z42" s="85"/>
      <c r="AB42" s="61"/>
      <c r="AC42" s="125"/>
      <c r="AD42" s="203"/>
      <c r="AE42" s="203"/>
      <c r="AF42" s="203"/>
      <c r="AH42" s="117"/>
      <c r="AI42" s="310"/>
      <c r="AJ42" s="84"/>
      <c r="AK42" s="84"/>
      <c r="AL42" s="61"/>
      <c r="AM42" s="123"/>
      <c r="AN42" s="311"/>
      <c r="AO42" s="311"/>
      <c r="AP42" s="311"/>
      <c r="AR42" s="6"/>
      <c r="AS42" s="202"/>
      <c r="AT42" s="85"/>
      <c r="AU42" s="653"/>
      <c r="AV42" s="125"/>
      <c r="AW42" s="125"/>
      <c r="AX42" s="203"/>
      <c r="AY42" s="203"/>
      <c r="AZ42" s="203"/>
    </row>
    <row r="43" spans="1:52" x14ac:dyDescent="0.3">
      <c r="A43" s="12"/>
      <c r="B43" s="12"/>
      <c r="C43" s="12"/>
      <c r="D43" s="220"/>
      <c r="E43" s="188"/>
      <c r="F43" s="177"/>
      <c r="G43" s="172"/>
      <c r="H43" s="657"/>
      <c r="I43" s="566"/>
      <c r="J43" s="47"/>
      <c r="K43" s="47"/>
      <c r="L43" s="47"/>
      <c r="M43" s="186"/>
      <c r="N43" s="305"/>
      <c r="O43" s="188"/>
      <c r="P43" s="177"/>
      <c r="Q43" s="172"/>
      <c r="R43" s="657"/>
      <c r="S43" s="172"/>
      <c r="T43" s="47"/>
      <c r="U43" s="47"/>
      <c r="V43" s="47"/>
      <c r="W43" s="186"/>
      <c r="X43" s="114"/>
      <c r="Y43" s="202"/>
      <c r="Z43" s="85"/>
      <c r="AB43" s="61"/>
      <c r="AC43" s="125"/>
      <c r="AD43" s="203"/>
      <c r="AE43" s="203"/>
      <c r="AF43" s="203"/>
      <c r="AH43" s="117"/>
      <c r="AI43" s="310"/>
      <c r="AJ43" s="84"/>
      <c r="AK43" s="84"/>
      <c r="AL43" s="61"/>
      <c r="AM43" s="123"/>
      <c r="AN43" s="311"/>
      <c r="AO43" s="311"/>
      <c r="AP43" s="311"/>
      <c r="AR43" s="6"/>
      <c r="AS43" s="202"/>
      <c r="AT43" s="85"/>
      <c r="AU43" s="653"/>
      <c r="AV43" s="125"/>
      <c r="AW43" s="125"/>
      <c r="AX43" s="203"/>
      <c r="AY43" s="203"/>
      <c r="AZ43" s="203"/>
    </row>
    <row r="44" spans="1:52" ht="15.6" x14ac:dyDescent="0.3">
      <c r="A44" s="12" t="s">
        <v>77</v>
      </c>
      <c r="B44" s="12"/>
      <c r="C44" s="12"/>
      <c r="D44" s="220"/>
      <c r="E44" s="148">
        <f>F44-I44</f>
        <v>500</v>
      </c>
      <c r="F44" s="149">
        <v>4000</v>
      </c>
      <c r="G44" s="639">
        <f t="shared" ref="G44" si="45">+E44/I44</f>
        <v>0.14285714285714285</v>
      </c>
      <c r="H44" s="657"/>
      <c r="I44" s="567">
        <v>3500</v>
      </c>
      <c r="J44" s="151">
        <f>I44/12*Summary!$G$31</f>
        <v>3208.3333333333335</v>
      </c>
      <c r="K44" s="164">
        <f>J44</f>
        <v>3208.3333333333335</v>
      </c>
      <c r="L44" s="151">
        <f>J44-K44</f>
        <v>0</v>
      </c>
      <c r="M44" s="186"/>
      <c r="N44" s="305"/>
      <c r="O44" s="148">
        <f>P44-S44</f>
        <v>0</v>
      </c>
      <c r="P44" s="149">
        <v>4000</v>
      </c>
      <c r="Q44" s="639">
        <f t="shared" ref="Q44" si="46">+O44/S44</f>
        <v>0</v>
      </c>
      <c r="R44" s="657"/>
      <c r="S44" s="157">
        <v>4000</v>
      </c>
      <c r="T44" s="151">
        <f>S44/12*Summary!$G$31</f>
        <v>3666.6666666666665</v>
      </c>
      <c r="U44" s="323">
        <f>T44</f>
        <v>3666.6666666666665</v>
      </c>
      <c r="V44" s="151">
        <f>T44-U44</f>
        <v>0</v>
      </c>
      <c r="W44" s="186"/>
      <c r="X44" s="114"/>
      <c r="Y44" s="202"/>
      <c r="Z44" s="85"/>
      <c r="AB44" s="61"/>
      <c r="AC44" s="125"/>
      <c r="AD44" s="203"/>
      <c r="AE44" s="203"/>
      <c r="AF44" s="203"/>
      <c r="AH44" s="117"/>
      <c r="AI44" s="310"/>
      <c r="AJ44" s="84"/>
      <c r="AK44" s="84"/>
      <c r="AL44" s="61"/>
      <c r="AM44" s="123"/>
      <c r="AN44" s="311"/>
      <c r="AO44" s="311"/>
      <c r="AP44" s="311"/>
      <c r="AR44" s="6"/>
      <c r="AS44" s="202"/>
      <c r="AT44" s="85"/>
      <c r="AU44" s="653"/>
      <c r="AV44" s="125"/>
      <c r="AW44" s="125"/>
      <c r="AX44" s="203"/>
      <c r="AY44" s="203"/>
      <c r="AZ44" s="203"/>
    </row>
    <row r="45" spans="1:52" x14ac:dyDescent="0.3">
      <c r="A45" s="12"/>
      <c r="B45" s="12"/>
      <c r="C45" s="12"/>
      <c r="D45" s="220"/>
      <c r="E45" s="188"/>
      <c r="F45" s="177"/>
      <c r="G45" s="172"/>
      <c r="H45" s="657"/>
      <c r="I45" s="566"/>
      <c r="J45" s="47"/>
      <c r="K45" s="47"/>
      <c r="L45" s="47"/>
      <c r="M45" s="186"/>
      <c r="N45" s="305"/>
      <c r="O45" s="188"/>
      <c r="P45" s="177"/>
      <c r="Q45" s="172"/>
      <c r="R45" s="657"/>
      <c r="S45" s="172"/>
      <c r="T45" s="47"/>
      <c r="U45" s="47"/>
      <c r="V45" s="47"/>
      <c r="W45" s="186"/>
      <c r="X45" s="114"/>
      <c r="Y45" s="202"/>
      <c r="Z45" s="85"/>
      <c r="AB45" s="61"/>
      <c r="AC45" s="125"/>
      <c r="AD45" s="203"/>
      <c r="AE45" s="203"/>
      <c r="AF45" s="203"/>
      <c r="AH45" s="117"/>
      <c r="AI45" s="310"/>
      <c r="AJ45" s="84"/>
      <c r="AK45" s="84"/>
      <c r="AL45" s="61"/>
      <c r="AM45" s="123"/>
      <c r="AN45" s="311"/>
      <c r="AO45" s="311"/>
      <c r="AP45" s="311"/>
      <c r="AR45" s="6"/>
      <c r="AS45" s="202"/>
      <c r="AT45" s="85"/>
      <c r="AU45" s="653"/>
      <c r="AV45" s="125"/>
      <c r="AW45" s="125"/>
      <c r="AX45" s="203"/>
      <c r="AY45" s="203"/>
      <c r="AZ45" s="203"/>
    </row>
    <row r="46" spans="1:52" ht="15" thickBot="1" x14ac:dyDescent="0.35">
      <c r="A46" s="58" t="s">
        <v>0</v>
      </c>
      <c r="B46" s="61"/>
      <c r="C46" s="61"/>
      <c r="D46" s="215"/>
      <c r="E46" s="189">
        <f>SUM(E42:E44)</f>
        <v>500</v>
      </c>
      <c r="F46" s="56">
        <f>SUM(F42:F44)</f>
        <v>4500</v>
      </c>
      <c r="G46" s="629">
        <f>+E46/I46</f>
        <v>0.125</v>
      </c>
      <c r="H46" s="658"/>
      <c r="I46" s="568">
        <f>SUM(I42:I44)</f>
        <v>4000</v>
      </c>
      <c r="J46" s="57">
        <f>SUM(J42:J44)</f>
        <v>3666.666666666667</v>
      </c>
      <c r="K46" s="57">
        <f>SUM(K42:K44)</f>
        <v>3666.666666666667</v>
      </c>
      <c r="L46" s="57">
        <f>SUM(L42:L44)</f>
        <v>0</v>
      </c>
      <c r="M46" s="190"/>
      <c r="N46" s="305"/>
      <c r="O46" s="189">
        <f>SUM(O42:O44)</f>
        <v>0</v>
      </c>
      <c r="P46" s="56">
        <f>SUM(P42:P44)</f>
        <v>4440</v>
      </c>
      <c r="Q46" s="629">
        <f>+O46/S46</f>
        <v>0</v>
      </c>
      <c r="R46" s="658"/>
      <c r="S46" s="110">
        <f>SUM(S42:S44)</f>
        <v>4440</v>
      </c>
      <c r="T46" s="57">
        <f>SUM(T42:T44)</f>
        <v>4070</v>
      </c>
      <c r="U46" s="57">
        <f>SUM(U42:U44)</f>
        <v>4070</v>
      </c>
      <c r="V46" s="57">
        <f>SUM(V42:V44)</f>
        <v>0</v>
      </c>
      <c r="W46" s="190"/>
      <c r="X46" s="114"/>
      <c r="Y46" s="202"/>
      <c r="Z46" s="85"/>
      <c r="AB46" s="61"/>
      <c r="AC46" s="125"/>
      <c r="AD46" s="203"/>
      <c r="AE46" s="203"/>
      <c r="AF46" s="203"/>
      <c r="AH46" s="117"/>
      <c r="AI46" s="310"/>
      <c r="AJ46" s="84"/>
      <c r="AK46" s="84"/>
      <c r="AL46" s="61"/>
      <c r="AM46" s="123"/>
      <c r="AN46" s="311"/>
      <c r="AO46" s="311"/>
      <c r="AP46" s="311"/>
      <c r="AR46" s="6"/>
      <c r="AS46" s="202"/>
      <c r="AT46" s="85"/>
      <c r="AU46" s="653"/>
      <c r="AV46" s="125"/>
      <c r="AW46" s="125"/>
      <c r="AX46" s="203"/>
      <c r="AY46" s="203"/>
      <c r="AZ46" s="203"/>
    </row>
    <row r="47" spans="1:52" x14ac:dyDescent="0.3">
      <c r="A47" s="11"/>
      <c r="B47" s="11"/>
      <c r="C47" s="11"/>
      <c r="D47" s="218"/>
      <c r="E47" s="11"/>
      <c r="F47" s="11"/>
      <c r="G47" s="118"/>
      <c r="H47" s="11"/>
      <c r="I47" s="11"/>
      <c r="J47" s="97"/>
      <c r="K47" s="97"/>
      <c r="L47" s="97"/>
      <c r="M47" s="97"/>
      <c r="N47" s="305"/>
      <c r="O47" s="306"/>
      <c r="P47" s="307"/>
      <c r="Q47" s="308"/>
      <c r="R47" s="256"/>
      <c r="S47" s="308"/>
      <c r="T47" s="309"/>
      <c r="U47" s="309"/>
      <c r="V47" s="309"/>
      <c r="X47" s="114"/>
      <c r="Y47" s="202"/>
      <c r="Z47" s="85"/>
      <c r="AB47" s="61"/>
      <c r="AC47" s="125"/>
      <c r="AD47" s="203"/>
      <c r="AE47" s="203"/>
      <c r="AF47" s="203"/>
      <c r="AH47" s="117"/>
      <c r="AI47" s="310"/>
      <c r="AJ47" s="84"/>
      <c r="AK47" s="84"/>
      <c r="AL47" s="61"/>
      <c r="AM47" s="123"/>
      <c r="AN47" s="311"/>
      <c r="AO47" s="311"/>
      <c r="AP47" s="311"/>
      <c r="AR47" s="6"/>
      <c r="AS47" s="202"/>
      <c r="AT47" s="85"/>
      <c r="AU47" s="653"/>
      <c r="AV47" s="125"/>
      <c r="AW47" s="125"/>
      <c r="AX47" s="203"/>
      <c r="AY47" s="203"/>
      <c r="AZ47" s="203"/>
    </row>
    <row r="48" spans="1:52" x14ac:dyDescent="0.3">
      <c r="A48" s="61"/>
      <c r="B48" s="61"/>
      <c r="C48" s="61"/>
      <c r="D48" s="215"/>
      <c r="E48" s="43"/>
      <c r="F48" s="44"/>
      <c r="G48" s="94"/>
      <c r="H48" s="61"/>
      <c r="I48" s="94"/>
      <c r="J48" s="205"/>
      <c r="K48" s="205"/>
      <c r="L48" s="205"/>
      <c r="M48"/>
      <c r="N48" s="305"/>
      <c r="O48" s="306"/>
      <c r="P48" s="307"/>
      <c r="Q48" s="308"/>
      <c r="R48" s="256"/>
      <c r="S48" s="308"/>
      <c r="T48" s="309"/>
      <c r="U48" s="309"/>
      <c r="V48" s="309"/>
      <c r="X48" s="114"/>
      <c r="Y48" s="202"/>
      <c r="Z48" s="85"/>
      <c r="AB48" s="61"/>
      <c r="AC48" s="125"/>
      <c r="AD48" s="203"/>
      <c r="AE48" s="203"/>
      <c r="AF48" s="203"/>
      <c r="AH48" s="117"/>
      <c r="AI48" s="310"/>
      <c r="AJ48" s="84"/>
      <c r="AK48" s="84"/>
      <c r="AL48" s="61"/>
      <c r="AM48" s="123"/>
      <c r="AN48" s="311"/>
      <c r="AO48" s="311"/>
      <c r="AP48" s="311"/>
      <c r="AR48" s="6"/>
      <c r="AS48" s="202"/>
      <c r="AT48" s="85"/>
      <c r="AU48" s="653"/>
      <c r="AV48" s="125"/>
      <c r="AW48" s="125"/>
      <c r="AX48" s="203"/>
      <c r="AY48" s="203"/>
      <c r="AZ48" s="203"/>
    </row>
    <row r="49" spans="1:52" ht="15" thickBot="1" x14ac:dyDescent="0.35">
      <c r="A49" s="61"/>
      <c r="B49" s="61"/>
      <c r="C49" s="61"/>
      <c r="D49" s="215"/>
      <c r="E49" s="43"/>
      <c r="F49" s="44"/>
      <c r="G49" s="94"/>
      <c r="H49" s="61"/>
      <c r="I49" s="94"/>
      <c r="J49" s="205"/>
      <c r="K49" s="205"/>
      <c r="L49" s="205"/>
      <c r="M49"/>
      <c r="N49" s="305"/>
      <c r="O49" s="306"/>
      <c r="P49" s="307"/>
      <c r="Q49" s="308"/>
      <c r="R49" s="256"/>
      <c r="S49" s="308"/>
      <c r="T49" s="309"/>
      <c r="U49" s="309"/>
      <c r="V49" s="309"/>
      <c r="X49" s="114"/>
      <c r="Y49" s="202"/>
      <c r="Z49" s="85"/>
      <c r="AB49" s="61"/>
      <c r="AC49" s="125"/>
      <c r="AD49" s="203"/>
      <c r="AE49" s="203"/>
      <c r="AF49" s="203"/>
      <c r="AH49" s="117"/>
      <c r="AI49" s="310"/>
      <c r="AJ49" s="84"/>
      <c r="AK49" s="84"/>
      <c r="AL49" s="61"/>
      <c r="AM49" s="123"/>
      <c r="AN49" s="311"/>
      <c r="AO49" s="311"/>
      <c r="AP49" s="311"/>
      <c r="AR49" s="6"/>
      <c r="AS49" s="202"/>
      <c r="AT49" s="85"/>
      <c r="AU49" s="653"/>
      <c r="AV49" s="125"/>
      <c r="AW49" s="125"/>
      <c r="AX49" s="203"/>
      <c r="AY49" s="203"/>
      <c r="AZ49" s="203"/>
    </row>
    <row r="50" spans="1:52" ht="23.4" x14ac:dyDescent="0.35">
      <c r="A50" s="206"/>
      <c r="B50" s="10"/>
      <c r="C50" s="10"/>
      <c r="D50" s="264" t="s">
        <v>140</v>
      </c>
      <c r="E50" s="131"/>
      <c r="F50" s="131"/>
      <c r="G50" s="132"/>
      <c r="H50" s="131"/>
      <c r="I50" s="133"/>
      <c r="J50" s="133"/>
      <c r="K50" s="133"/>
      <c r="L50" s="134"/>
      <c r="M50" s="82"/>
      <c r="N50" s="273" t="s">
        <v>141</v>
      </c>
      <c r="O50" s="222"/>
      <c r="P50" s="223"/>
      <c r="Q50" s="224"/>
      <c r="R50" s="225"/>
      <c r="S50" s="226"/>
      <c r="T50" s="226"/>
      <c r="U50" s="226"/>
      <c r="V50" s="227"/>
      <c r="X50" s="394" t="s">
        <v>123</v>
      </c>
      <c r="Y50" s="395"/>
      <c r="Z50" s="396"/>
      <c r="AA50" s="665"/>
      <c r="AB50" s="396"/>
      <c r="AC50" s="397"/>
      <c r="AD50" s="397"/>
      <c r="AE50" s="397"/>
      <c r="AF50" s="398"/>
      <c r="AH50" s="273" t="s">
        <v>124</v>
      </c>
      <c r="AI50" s="131"/>
      <c r="AJ50" s="131"/>
      <c r="AK50" s="131"/>
      <c r="AL50" s="293"/>
      <c r="AM50" s="294"/>
      <c r="AN50" s="294"/>
      <c r="AO50" s="294"/>
      <c r="AP50" s="295"/>
      <c r="AR50" s="199" t="s">
        <v>142</v>
      </c>
      <c r="AS50" s="131"/>
      <c r="AT50" s="131"/>
      <c r="AU50" s="395"/>
      <c r="AV50" s="132"/>
      <c r="AW50" s="294"/>
      <c r="AX50" s="294"/>
      <c r="AY50" s="294"/>
      <c r="AZ50" s="295"/>
    </row>
    <row r="51" spans="1:52" x14ac:dyDescent="0.3">
      <c r="A51" s="823"/>
      <c r="B51" s="823"/>
      <c r="C51" s="823"/>
      <c r="D51" s="208"/>
      <c r="E51" s="6"/>
      <c r="F51" s="6"/>
      <c r="G51" s="136"/>
      <c r="H51" s="6"/>
      <c r="I51" s="137"/>
      <c r="J51" s="137"/>
      <c r="K51" s="137"/>
      <c r="L51" s="138"/>
      <c r="M51" s="83"/>
      <c r="N51" s="266"/>
      <c r="O51" s="228"/>
      <c r="P51" s="228"/>
      <c r="Q51" s="229"/>
      <c r="R51" s="228"/>
      <c r="S51" s="230"/>
      <c r="T51" s="230"/>
      <c r="U51" s="230"/>
      <c r="V51" s="231"/>
      <c r="X51" s="399"/>
      <c r="Y51" s="400"/>
      <c r="Z51" s="400"/>
      <c r="AA51" s="483"/>
      <c r="AB51" s="400"/>
      <c r="AC51" s="401"/>
      <c r="AD51" s="401"/>
      <c r="AE51" s="401"/>
      <c r="AF51" s="402"/>
      <c r="AH51" s="169"/>
      <c r="AI51" s="117"/>
      <c r="AJ51" s="117"/>
      <c r="AK51" s="117"/>
      <c r="AL51" s="117"/>
      <c r="AM51" s="194"/>
      <c r="AN51" s="194"/>
      <c r="AO51" s="194"/>
      <c r="AP51" s="195"/>
      <c r="AR51" s="135"/>
      <c r="AS51" s="117"/>
      <c r="AT51" s="117"/>
      <c r="AU51" s="400"/>
      <c r="AV51" s="170"/>
      <c r="AW51" s="194"/>
      <c r="AX51" s="194"/>
      <c r="AY51" s="194"/>
      <c r="AZ51" s="195"/>
    </row>
    <row r="52" spans="1:52" ht="21" x14ac:dyDescent="0.4">
      <c r="A52" s="823"/>
      <c r="B52" s="823"/>
      <c r="C52" s="823"/>
      <c r="D52" s="312" t="s">
        <v>138</v>
      </c>
      <c r="E52" s="813" t="s">
        <v>280</v>
      </c>
      <c r="F52" s="814"/>
      <c r="G52" s="814"/>
      <c r="H52" s="139"/>
      <c r="I52" s="800">
        <v>2020</v>
      </c>
      <c r="J52" s="801"/>
      <c r="K52" s="801"/>
      <c r="L52" s="802"/>
      <c r="M52" s="87"/>
      <c r="N52" s="301" t="s">
        <v>138</v>
      </c>
      <c r="O52" s="813" t="s">
        <v>280</v>
      </c>
      <c r="P52" s="814"/>
      <c r="Q52" s="814"/>
      <c r="R52" s="232"/>
      <c r="S52" s="800">
        <v>2021</v>
      </c>
      <c r="T52" s="801"/>
      <c r="U52" s="801"/>
      <c r="V52" s="802"/>
      <c r="W52" s="86"/>
      <c r="X52" s="403" t="s">
        <v>138</v>
      </c>
      <c r="Y52" s="813" t="s">
        <v>280</v>
      </c>
      <c r="Z52" s="814"/>
      <c r="AA52" s="814"/>
      <c r="AB52" s="404"/>
      <c r="AC52" s="820">
        <v>2021</v>
      </c>
      <c r="AD52" s="821"/>
      <c r="AE52" s="821"/>
      <c r="AF52" s="822"/>
      <c r="AG52" s="86"/>
      <c r="AH52" s="301" t="s">
        <v>138</v>
      </c>
      <c r="AI52" s="813" t="s">
        <v>280</v>
      </c>
      <c r="AJ52" s="814"/>
      <c r="AK52" s="814"/>
      <c r="AL52" s="196"/>
      <c r="AM52" s="800">
        <v>2021</v>
      </c>
      <c r="AN52" s="801"/>
      <c r="AO52" s="801"/>
      <c r="AP52" s="802"/>
      <c r="AQ52" s="86"/>
      <c r="AR52" s="301" t="s">
        <v>138</v>
      </c>
      <c r="AS52" s="813" t="s">
        <v>280</v>
      </c>
      <c r="AT52" s="814"/>
      <c r="AU52" s="814"/>
      <c r="AV52" s="122"/>
      <c r="AW52" s="800">
        <v>2020</v>
      </c>
      <c r="AX52" s="801"/>
      <c r="AY52" s="801"/>
      <c r="AZ52" s="802"/>
    </row>
    <row r="53" spans="1:52" ht="15" customHeight="1" x14ac:dyDescent="0.25">
      <c r="A53" s="9"/>
      <c r="B53" s="9"/>
      <c r="C53" s="9"/>
      <c r="D53" s="208"/>
      <c r="E53" s="810" t="s">
        <v>279</v>
      </c>
      <c r="F53" s="796" t="s">
        <v>33</v>
      </c>
      <c r="G53" s="806" t="s">
        <v>276</v>
      </c>
      <c r="H53" s="9"/>
      <c r="I53" s="798" t="s">
        <v>101</v>
      </c>
      <c r="J53" s="799"/>
      <c r="K53" s="112" t="s">
        <v>82</v>
      </c>
      <c r="L53" s="140" t="s">
        <v>76</v>
      </c>
      <c r="M53" s="75"/>
      <c r="N53" s="265"/>
      <c r="O53" s="810" t="s">
        <v>279</v>
      </c>
      <c r="P53" s="796" t="s">
        <v>33</v>
      </c>
      <c r="Q53" s="806" t="s">
        <v>276</v>
      </c>
      <c r="R53" s="233"/>
      <c r="S53" s="811" t="s">
        <v>101</v>
      </c>
      <c r="T53" s="812"/>
      <c r="U53" s="234" t="s">
        <v>82</v>
      </c>
      <c r="V53" s="235" t="s">
        <v>76</v>
      </c>
      <c r="W53" s="9"/>
      <c r="X53" s="274"/>
      <c r="Y53" s="810" t="s">
        <v>279</v>
      </c>
      <c r="Z53" s="796" t="s">
        <v>33</v>
      </c>
      <c r="AA53" s="806" t="s">
        <v>276</v>
      </c>
      <c r="AB53" s="9"/>
      <c r="AC53" s="798" t="s">
        <v>101</v>
      </c>
      <c r="AD53" s="799"/>
      <c r="AE53" s="112" t="s">
        <v>82</v>
      </c>
      <c r="AF53" s="140" t="s">
        <v>76</v>
      </c>
      <c r="AG53" s="9"/>
      <c r="AH53" s="274"/>
      <c r="AI53" s="810" t="s">
        <v>279</v>
      </c>
      <c r="AJ53" s="796" t="s">
        <v>33</v>
      </c>
      <c r="AK53" s="806" t="s">
        <v>276</v>
      </c>
      <c r="AL53" s="9"/>
      <c r="AM53" s="798" t="s">
        <v>101</v>
      </c>
      <c r="AN53" s="799"/>
      <c r="AO53" s="112" t="s">
        <v>82</v>
      </c>
      <c r="AP53" s="140" t="s">
        <v>76</v>
      </c>
      <c r="AQ53" s="9"/>
      <c r="AR53" s="274"/>
      <c r="AS53" s="810" t="s">
        <v>279</v>
      </c>
      <c r="AT53" s="796" t="s">
        <v>33</v>
      </c>
      <c r="AU53" s="806" t="s">
        <v>276</v>
      </c>
      <c r="AV53" s="75"/>
      <c r="AW53" s="798" t="s">
        <v>101</v>
      </c>
      <c r="AX53" s="799"/>
      <c r="AY53" s="112" t="s">
        <v>82</v>
      </c>
      <c r="AZ53" s="140" t="s">
        <v>76</v>
      </c>
    </row>
    <row r="54" spans="1:52" x14ac:dyDescent="0.25">
      <c r="A54" s="9"/>
      <c r="B54" s="9"/>
      <c r="C54" s="9"/>
      <c r="D54" s="208"/>
      <c r="E54" s="795"/>
      <c r="F54" s="797"/>
      <c r="G54" s="805"/>
      <c r="H54" s="9"/>
      <c r="I54" s="102" t="s">
        <v>100</v>
      </c>
      <c r="J54" s="142" t="s">
        <v>130</v>
      </c>
      <c r="K54" s="393" t="str">
        <f>Summary!$H$31</f>
        <v>November</v>
      </c>
      <c r="L54" s="143" t="s">
        <v>131</v>
      </c>
      <c r="M54" s="167"/>
      <c r="N54" s="267"/>
      <c r="O54" s="795"/>
      <c r="P54" s="797"/>
      <c r="Q54" s="805"/>
      <c r="R54" s="233"/>
      <c r="S54" s="237" t="s">
        <v>100</v>
      </c>
      <c r="T54" s="238" t="s">
        <v>130</v>
      </c>
      <c r="U54" s="393" t="str">
        <f>Summary!$H$31</f>
        <v>November</v>
      </c>
      <c r="V54" s="239" t="s">
        <v>131</v>
      </c>
      <c r="W54" s="9"/>
      <c r="X54" s="274"/>
      <c r="Y54" s="795"/>
      <c r="Z54" s="797"/>
      <c r="AA54" s="805"/>
      <c r="AB54" s="9"/>
      <c r="AC54" s="102" t="s">
        <v>100</v>
      </c>
      <c r="AD54" s="142" t="s">
        <v>130</v>
      </c>
      <c r="AE54" s="393" t="str">
        <f>Summary!$H$31</f>
        <v>November</v>
      </c>
      <c r="AF54" s="143" t="s">
        <v>131</v>
      </c>
      <c r="AG54" s="9"/>
      <c r="AH54" s="274"/>
      <c r="AI54" s="795"/>
      <c r="AJ54" s="797"/>
      <c r="AK54" s="805"/>
      <c r="AL54" s="9"/>
      <c r="AM54" s="102" t="s">
        <v>100</v>
      </c>
      <c r="AN54" s="142" t="s">
        <v>130</v>
      </c>
      <c r="AO54" s="393" t="str">
        <f>Summary!$H$31</f>
        <v>November</v>
      </c>
      <c r="AP54" s="143" t="s">
        <v>131</v>
      </c>
      <c r="AQ54" s="9"/>
      <c r="AR54" s="274"/>
      <c r="AS54" s="795"/>
      <c r="AT54" s="797"/>
      <c r="AU54" s="805"/>
      <c r="AV54" s="141"/>
      <c r="AW54" s="102" t="s">
        <v>100</v>
      </c>
      <c r="AX54" s="142" t="s">
        <v>130</v>
      </c>
      <c r="AY54" s="393" t="str">
        <f>Summary!$H$31</f>
        <v>November</v>
      </c>
      <c r="AZ54" s="143" t="s">
        <v>131</v>
      </c>
    </row>
    <row r="55" spans="1:52" x14ac:dyDescent="0.25">
      <c r="A55" s="100"/>
      <c r="B55" s="100"/>
      <c r="C55" s="100"/>
      <c r="D55" s="209"/>
      <c r="E55" s="100"/>
      <c r="F55" s="100"/>
      <c r="G55" s="100"/>
      <c r="H55" s="100"/>
      <c r="I55" s="141"/>
      <c r="J55" s="141"/>
      <c r="K55" s="141"/>
      <c r="L55" s="144"/>
      <c r="M55" s="93"/>
      <c r="N55" s="268"/>
      <c r="O55" s="234"/>
      <c r="P55" s="234"/>
      <c r="Q55" s="234"/>
      <c r="R55" s="234"/>
      <c r="S55" s="236"/>
      <c r="T55" s="236"/>
      <c r="U55" s="236"/>
      <c r="V55" s="240"/>
      <c r="W55" s="100"/>
      <c r="X55" s="275"/>
      <c r="Y55" s="100"/>
      <c r="Z55" s="100"/>
      <c r="AA55" s="483"/>
      <c r="AB55" s="100"/>
      <c r="AC55" s="141"/>
      <c r="AD55" s="141"/>
      <c r="AE55" s="141"/>
      <c r="AF55" s="144"/>
      <c r="AG55" s="100"/>
      <c r="AH55" s="275"/>
      <c r="AI55" s="100"/>
      <c r="AJ55" s="100"/>
      <c r="AK55" s="100"/>
      <c r="AL55" s="100"/>
      <c r="AM55" s="141"/>
      <c r="AN55" s="141"/>
      <c r="AO55" s="141"/>
      <c r="AP55" s="144"/>
      <c r="AQ55" s="100"/>
      <c r="AR55" s="275"/>
      <c r="AS55" s="100"/>
      <c r="AT55" s="100"/>
      <c r="AU55" s="651"/>
      <c r="AV55" s="100"/>
      <c r="AW55" s="141"/>
      <c r="AX55" s="141"/>
      <c r="AY55" s="141"/>
      <c r="AZ55" s="144"/>
    </row>
    <row r="56" spans="1:52" x14ac:dyDescent="0.3">
      <c r="A56" s="2" t="s">
        <v>15</v>
      </c>
      <c r="B56" s="30"/>
      <c r="C56" s="30"/>
      <c r="D56" s="210"/>
      <c r="E56" s="146"/>
      <c r="F56" s="145"/>
      <c r="G56" s="145"/>
      <c r="H56" s="146"/>
      <c r="I56" s="145"/>
      <c r="J56" s="145"/>
      <c r="K56" s="145"/>
      <c r="L56" s="147"/>
      <c r="M56" s="78"/>
      <c r="N56" s="269"/>
      <c r="O56" s="241"/>
      <c r="P56" s="228"/>
      <c r="Q56" s="229"/>
      <c r="R56" s="241"/>
      <c r="S56" s="242"/>
      <c r="T56" s="242"/>
      <c r="U56" s="228"/>
      <c r="V56" s="243"/>
      <c r="X56" s="274"/>
      <c r="Y56" s="180"/>
      <c r="Z56" s="180"/>
      <c r="AA56" s="483"/>
      <c r="AB56" s="180"/>
      <c r="AC56" s="160"/>
      <c r="AD56" s="160"/>
      <c r="AE56" s="180"/>
      <c r="AF56" s="197"/>
      <c r="AH56" s="274"/>
      <c r="AI56" s="180"/>
      <c r="AJ56" s="180"/>
      <c r="AK56" s="180"/>
      <c r="AL56" s="180"/>
      <c r="AM56" s="160"/>
      <c r="AN56" s="160"/>
      <c r="AO56" s="180"/>
      <c r="AP56" s="197"/>
      <c r="AR56" s="274"/>
      <c r="AS56" s="180"/>
      <c r="AT56" s="180"/>
      <c r="AU56" s="652"/>
      <c r="AV56" s="296"/>
      <c r="AW56" s="160"/>
      <c r="AX56" s="160"/>
      <c r="AY56" s="180"/>
      <c r="AZ56" s="197"/>
    </row>
    <row r="57" spans="1:52" x14ac:dyDescent="0.3">
      <c r="A57" s="3" t="s">
        <v>16</v>
      </c>
      <c r="B57" s="32"/>
      <c r="C57" s="32"/>
      <c r="D57" s="210">
        <v>6500</v>
      </c>
      <c r="E57" s="200">
        <f>F57-I57</f>
        <v>34</v>
      </c>
      <c r="F57" s="149">
        <v>679</v>
      </c>
      <c r="G57" s="639">
        <f>+E57/I57</f>
        <v>5.2713178294573643E-2</v>
      </c>
      <c r="H57" s="66"/>
      <c r="I57" s="150">
        <v>645</v>
      </c>
      <c r="J57" s="151">
        <f>I57/12*Summary!$G$31</f>
        <v>591.25</v>
      </c>
      <c r="K57" s="152">
        <v>600.36</v>
      </c>
      <c r="L57" s="153">
        <f>J57-K57</f>
        <v>-9.1100000000000136</v>
      </c>
      <c r="M57" s="79"/>
      <c r="N57" s="216">
        <v>6750</v>
      </c>
      <c r="O57" s="244">
        <f>P57-S57</f>
        <v>35</v>
      </c>
      <c r="P57" s="245">
        <v>695</v>
      </c>
      <c r="Q57" s="639">
        <f>+O57/S57</f>
        <v>5.3030303030303032E-2</v>
      </c>
      <c r="R57" s="246"/>
      <c r="S57" s="242">
        <v>660</v>
      </c>
      <c r="T57" s="247">
        <f>S57/12*Summary!$G$31</f>
        <v>605</v>
      </c>
      <c r="U57" s="248">
        <v>558.07000000000005</v>
      </c>
      <c r="V57" s="249">
        <f>T57-U57</f>
        <v>46.92999999999995</v>
      </c>
      <c r="X57" s="274">
        <v>7000</v>
      </c>
      <c r="Y57" s="200">
        <f>Z57-AC57</f>
        <v>97</v>
      </c>
      <c r="Z57" s="174">
        <v>1939</v>
      </c>
      <c r="AA57" s="639">
        <f>+Y57/AC57</f>
        <v>5.2660152008686213E-2</v>
      </c>
      <c r="AB57" s="198"/>
      <c r="AC57" s="150">
        <v>1842</v>
      </c>
      <c r="AD57" s="151">
        <f>AC57/12*Summary!$G$31</f>
        <v>1688.5</v>
      </c>
      <c r="AE57" s="152">
        <v>1715.32</v>
      </c>
      <c r="AF57" s="153">
        <f>AD57-AE57</f>
        <v>-26.819999999999936</v>
      </c>
      <c r="AH57" s="274">
        <v>7253</v>
      </c>
      <c r="AI57" s="200">
        <f>AJ57-AM57</f>
        <v>17</v>
      </c>
      <c r="AJ57" s="149">
        <v>324</v>
      </c>
      <c r="AK57" s="639">
        <f>+AI57/AM57</f>
        <v>5.5374592833876218E-2</v>
      </c>
      <c r="AL57" s="198"/>
      <c r="AM57" s="150">
        <v>307</v>
      </c>
      <c r="AN57" s="151">
        <f>AM57/12*Summary!$G$31</f>
        <v>281.41666666666663</v>
      </c>
      <c r="AO57" s="152">
        <v>285.86</v>
      </c>
      <c r="AP57" s="153">
        <f>AN57-AO57</f>
        <v>-4.4433333333333849</v>
      </c>
      <c r="AR57" s="274">
        <v>7750</v>
      </c>
      <c r="AS57" s="200">
        <f>AT57-AW57</f>
        <v>40</v>
      </c>
      <c r="AT57" s="149">
        <v>808</v>
      </c>
      <c r="AU57" s="639">
        <f>+AS57/AW57</f>
        <v>5.2083333333333336E-2</v>
      </c>
      <c r="AV57" s="150"/>
      <c r="AW57" s="150">
        <v>768</v>
      </c>
      <c r="AX57" s="151">
        <f>AW57/12*Summary!$G$31</f>
        <v>704</v>
      </c>
      <c r="AY57" s="152">
        <v>714.73</v>
      </c>
      <c r="AZ57" s="153">
        <f>AX57-AY57</f>
        <v>-10.730000000000018</v>
      </c>
    </row>
    <row r="58" spans="1:52" x14ac:dyDescent="0.3">
      <c r="A58" s="3" t="s">
        <v>12</v>
      </c>
      <c r="B58" s="32" t="s">
        <v>137</v>
      </c>
      <c r="C58" s="32"/>
      <c r="D58" s="210">
        <v>6501</v>
      </c>
      <c r="E58" s="277"/>
      <c r="F58" s="278"/>
      <c r="G58" s="278"/>
      <c r="H58" s="279"/>
      <c r="I58" s="280"/>
      <c r="J58" s="281"/>
      <c r="K58" s="281"/>
      <c r="L58" s="282"/>
      <c r="M58" s="81"/>
      <c r="N58" s="210">
        <v>6751</v>
      </c>
      <c r="O58" s="244">
        <f>P58-S58</f>
        <v>0</v>
      </c>
      <c r="P58" s="250">
        <v>90</v>
      </c>
      <c r="Q58" s="639">
        <v>0</v>
      </c>
      <c r="R58" s="246"/>
      <c r="S58" s="251">
        <v>90</v>
      </c>
      <c r="T58" s="247">
        <f>S58/12*Summary!$G$31</f>
        <v>82.5</v>
      </c>
      <c r="U58" s="248">
        <v>60</v>
      </c>
      <c r="V58" s="249">
        <f t="shared" ref="V58:V60" si="47">T58-U58</f>
        <v>22.5</v>
      </c>
      <c r="X58" s="274">
        <v>7001</v>
      </c>
      <c r="Y58" s="200">
        <f>Z58-AC58</f>
        <v>0</v>
      </c>
      <c r="Z58" s="154">
        <v>510</v>
      </c>
      <c r="AA58" s="639">
        <v>0</v>
      </c>
      <c r="AB58" s="198"/>
      <c r="AC58" s="150">
        <v>510</v>
      </c>
      <c r="AD58" s="151">
        <f>AC58/12*Summary!$G$31</f>
        <v>467.5</v>
      </c>
      <c r="AE58" s="152">
        <v>340</v>
      </c>
      <c r="AF58" s="153">
        <f t="shared" ref="AF58:AF60" si="48">AD58-AE58</f>
        <v>127.5</v>
      </c>
      <c r="AH58" s="274">
        <v>7250</v>
      </c>
      <c r="AI58" s="200">
        <f>AJ58-AM58</f>
        <v>0</v>
      </c>
      <c r="AJ58" s="154">
        <v>150</v>
      </c>
      <c r="AK58" s="639">
        <v>0</v>
      </c>
      <c r="AL58" s="198"/>
      <c r="AM58" s="150">
        <v>150</v>
      </c>
      <c r="AN58" s="151">
        <f>AM58/12*Summary!$G$31</f>
        <v>137.5</v>
      </c>
      <c r="AO58" s="152">
        <v>100</v>
      </c>
      <c r="AP58" s="153">
        <f>AN58-AO58</f>
        <v>37.5</v>
      </c>
      <c r="AR58" s="274">
        <v>7751</v>
      </c>
      <c r="AS58" s="200">
        <f>AT58-AW58</f>
        <v>0</v>
      </c>
      <c r="AT58" s="154">
        <v>90</v>
      </c>
      <c r="AU58" s="639">
        <v>0</v>
      </c>
      <c r="AV58" s="155"/>
      <c r="AW58" s="150">
        <v>90</v>
      </c>
      <c r="AX58" s="151">
        <f>AW58/12*Summary!$G$31</f>
        <v>82.5</v>
      </c>
      <c r="AY58" s="152">
        <v>60</v>
      </c>
      <c r="AZ58" s="153">
        <f>AX58-AY58</f>
        <v>22.5</v>
      </c>
    </row>
    <row r="59" spans="1:52" x14ac:dyDescent="0.3">
      <c r="A59" s="3" t="s">
        <v>304</v>
      </c>
      <c r="B59" s="32" t="s">
        <v>137</v>
      </c>
      <c r="C59" s="32"/>
      <c r="D59" s="210">
        <v>6502</v>
      </c>
      <c r="E59" s="200">
        <f>F59-I59</f>
        <v>400</v>
      </c>
      <c r="F59" s="154">
        <f>800*150%</f>
        <v>1200</v>
      </c>
      <c r="G59" s="639">
        <f t="shared" ref="G59:G60" si="49">+E59/I59</f>
        <v>0.5</v>
      </c>
      <c r="H59" s="66"/>
      <c r="I59" s="150">
        <v>800</v>
      </c>
      <c r="J59" s="151">
        <f>I59/12*Summary!$G$31</f>
        <v>733.33333333333337</v>
      </c>
      <c r="K59" s="152">
        <v>1715.36</v>
      </c>
      <c r="L59" s="153">
        <f>J59-K59</f>
        <v>-982.02666666666653</v>
      </c>
      <c r="M59" s="81"/>
      <c r="N59" s="210">
        <v>6752</v>
      </c>
      <c r="O59" s="244">
        <f>P59-S59</f>
        <v>220</v>
      </c>
      <c r="P59" s="250">
        <f>440*150%</f>
        <v>660</v>
      </c>
      <c r="Q59" s="639">
        <f t="shared" ref="Q59:Q60" si="50">+O59/S59</f>
        <v>0.5</v>
      </c>
      <c r="R59" s="246"/>
      <c r="S59" s="251">
        <v>440</v>
      </c>
      <c r="T59" s="247">
        <f>S59/12*Summary!$G$31</f>
        <v>403.33333333333331</v>
      </c>
      <c r="U59" s="248">
        <v>0</v>
      </c>
      <c r="V59" s="249">
        <f t="shared" si="47"/>
        <v>403.33333333333331</v>
      </c>
      <c r="X59" s="274">
        <v>7002</v>
      </c>
      <c r="Y59" s="200">
        <f>Z59-AC59</f>
        <v>900</v>
      </c>
      <c r="Z59" s="154">
        <f>1800*150%</f>
        <v>2700</v>
      </c>
      <c r="AA59" s="639">
        <f t="shared" ref="AA59:AA60" si="51">+Y59/AC59</f>
        <v>0.5</v>
      </c>
      <c r="AB59" s="198"/>
      <c r="AC59" s="150">
        <v>1800</v>
      </c>
      <c r="AD59" s="151">
        <f>AC59/12*Summary!$G$31</f>
        <v>1650</v>
      </c>
      <c r="AE59" s="152">
        <v>2787.72</v>
      </c>
      <c r="AF59" s="153">
        <f t="shared" si="48"/>
        <v>-1137.7199999999998</v>
      </c>
      <c r="AH59" s="274">
        <v>7252</v>
      </c>
      <c r="AI59" s="200">
        <f>AJ59-AM59</f>
        <v>110</v>
      </c>
      <c r="AJ59" s="154">
        <f>220*150%</f>
        <v>330</v>
      </c>
      <c r="AK59" s="639">
        <f t="shared" ref="AK59:AK60" si="52">+AI59/AM59</f>
        <v>0.5</v>
      </c>
      <c r="AL59" s="198"/>
      <c r="AM59" s="150">
        <v>220</v>
      </c>
      <c r="AN59" s="151">
        <f>AM59/12*Summary!$G$31</f>
        <v>201.66666666666666</v>
      </c>
      <c r="AO59" s="152">
        <v>0</v>
      </c>
      <c r="AP59" s="153">
        <f>AN59-AO59</f>
        <v>201.66666666666666</v>
      </c>
      <c r="AR59" s="274">
        <v>7752</v>
      </c>
      <c r="AS59" s="200">
        <f>AT59-AW59</f>
        <v>122.5</v>
      </c>
      <c r="AT59" s="154">
        <f>245*150%</f>
        <v>367.5</v>
      </c>
      <c r="AU59" s="639">
        <f t="shared" ref="AU59:AU60" si="53">+AS59/AW59</f>
        <v>0.5</v>
      </c>
      <c r="AV59" s="155"/>
      <c r="AW59" s="150">
        <v>245</v>
      </c>
      <c r="AX59" s="151">
        <f>AW59/12*Summary!$G$31</f>
        <v>224.58333333333334</v>
      </c>
      <c r="AY59" s="152">
        <v>357.55</v>
      </c>
      <c r="AZ59" s="153">
        <f>AX59-AY59</f>
        <v>-132.96666666666667</v>
      </c>
    </row>
    <row r="60" spans="1:52" x14ac:dyDescent="0.3">
      <c r="A60" s="3" t="s">
        <v>98</v>
      </c>
      <c r="B60" s="32"/>
      <c r="C60" s="32"/>
      <c r="D60" s="210">
        <v>6503</v>
      </c>
      <c r="E60" s="200">
        <f>F60-I60</f>
        <v>15</v>
      </c>
      <c r="F60" s="149">
        <v>141</v>
      </c>
      <c r="G60" s="639">
        <f t="shared" si="49"/>
        <v>0.11904761904761904</v>
      </c>
      <c r="H60" s="66"/>
      <c r="I60" s="150">
        <v>126</v>
      </c>
      <c r="J60" s="151">
        <f>I60/12*Summary!$G$31</f>
        <v>115.5</v>
      </c>
      <c r="K60" s="152">
        <v>136</v>
      </c>
      <c r="L60" s="153">
        <f>J60-K60</f>
        <v>-20.5</v>
      </c>
      <c r="M60" s="79"/>
      <c r="N60" s="216">
        <v>6753</v>
      </c>
      <c r="O60" s="244">
        <f>P60-S60</f>
        <v>17</v>
      </c>
      <c r="P60" s="245">
        <v>185</v>
      </c>
      <c r="Q60" s="639">
        <f t="shared" si="50"/>
        <v>0.10119047619047619</v>
      </c>
      <c r="R60" s="246"/>
      <c r="S60" s="242">
        <v>168</v>
      </c>
      <c r="T60" s="247">
        <f>S60/12*Summary!$G$31</f>
        <v>154</v>
      </c>
      <c r="U60" s="252">
        <v>178</v>
      </c>
      <c r="V60" s="249">
        <f t="shared" si="47"/>
        <v>-24</v>
      </c>
      <c r="X60" s="274">
        <v>7003</v>
      </c>
      <c r="Y60" s="200">
        <f>Z60-AC60</f>
        <v>39</v>
      </c>
      <c r="Z60" s="174">
        <v>711</v>
      </c>
      <c r="AA60" s="639">
        <f t="shared" si="51"/>
        <v>5.8035714285714288E-2</v>
      </c>
      <c r="AB60" s="198"/>
      <c r="AC60" s="150">
        <v>672</v>
      </c>
      <c r="AD60" s="151">
        <f>AC60/12*Summary!$G$31</f>
        <v>616</v>
      </c>
      <c r="AE60" s="176">
        <v>684</v>
      </c>
      <c r="AF60" s="153">
        <f t="shared" si="48"/>
        <v>-68</v>
      </c>
      <c r="AH60" s="274">
        <v>7254</v>
      </c>
      <c r="AI60" s="200">
        <f>AJ60-AM60</f>
        <v>17</v>
      </c>
      <c r="AJ60" s="149">
        <v>185</v>
      </c>
      <c r="AK60" s="639">
        <f t="shared" si="52"/>
        <v>0.10119047619047619</v>
      </c>
      <c r="AL60" s="198"/>
      <c r="AM60" s="150">
        <v>168</v>
      </c>
      <c r="AN60" s="151">
        <f>AM60/12*Summary!$G$31</f>
        <v>154</v>
      </c>
      <c r="AO60" s="152">
        <v>178</v>
      </c>
      <c r="AP60" s="153">
        <f>AN60-AO60</f>
        <v>-24</v>
      </c>
      <c r="AR60" s="274">
        <v>7753</v>
      </c>
      <c r="AS60" s="200">
        <f>AT60-AW60</f>
        <v>17</v>
      </c>
      <c r="AT60" s="149">
        <v>185</v>
      </c>
      <c r="AU60" s="639">
        <f t="shared" si="53"/>
        <v>0.10119047619047619</v>
      </c>
      <c r="AV60" s="150"/>
      <c r="AW60" s="150">
        <v>168</v>
      </c>
      <c r="AX60" s="151">
        <f>AW60/12*Summary!$G$31</f>
        <v>154</v>
      </c>
      <c r="AY60" s="152">
        <v>178</v>
      </c>
      <c r="AZ60" s="153">
        <f>AX60-AY60</f>
        <v>-24</v>
      </c>
    </row>
    <row r="61" spans="1:52" x14ac:dyDescent="0.3">
      <c r="A61" s="3"/>
      <c r="B61" s="32"/>
      <c r="C61" s="32"/>
      <c r="D61" s="210"/>
      <c r="E61" s="200"/>
      <c r="F61" s="156"/>
      <c r="G61" s="150"/>
      <c r="H61" s="66"/>
      <c r="I61" s="157"/>
      <c r="J61" s="151"/>
      <c r="K61" s="151"/>
      <c r="L61" s="153"/>
      <c r="M61" s="79"/>
      <c r="N61" s="216"/>
      <c r="O61" s="244"/>
      <c r="P61" s="253"/>
      <c r="Q61" s="150"/>
      <c r="R61" s="246"/>
      <c r="S61" s="242"/>
      <c r="T61" s="254"/>
      <c r="U61" s="254"/>
      <c r="V61" s="255"/>
      <c r="X61" s="274"/>
      <c r="Y61" s="200"/>
      <c r="Z61" s="177"/>
      <c r="AA61" s="150"/>
      <c r="AB61" s="198"/>
      <c r="AC61" s="150"/>
      <c r="AD61" s="52"/>
      <c r="AE61" s="52"/>
      <c r="AF61" s="178"/>
      <c r="AH61" s="274"/>
      <c r="AI61" s="200"/>
      <c r="AJ61" s="156"/>
      <c r="AK61" s="150"/>
      <c r="AL61" s="198"/>
      <c r="AM61" s="150"/>
      <c r="AN61" s="151"/>
      <c r="AO61" s="151"/>
      <c r="AP61" s="153"/>
      <c r="AR61" s="274"/>
      <c r="AS61" s="200"/>
      <c r="AT61" s="156"/>
      <c r="AU61" s="150"/>
      <c r="AV61" s="150"/>
      <c r="AW61" s="150"/>
      <c r="AX61" s="151"/>
      <c r="AY61" s="151"/>
      <c r="AZ61" s="153"/>
    </row>
    <row r="62" spans="1:52" ht="15" thickBot="1" x14ac:dyDescent="0.35">
      <c r="A62" s="58" t="s">
        <v>103</v>
      </c>
      <c r="B62" s="30"/>
      <c r="C62" s="30"/>
      <c r="D62" s="326"/>
      <c r="E62" s="33">
        <f>SUM(E56:E61)</f>
        <v>449</v>
      </c>
      <c r="F62" s="34">
        <f>SUM(F56:F61)</f>
        <v>2020</v>
      </c>
      <c r="G62" s="641">
        <f>+E62/I62</f>
        <v>0.28580521960534694</v>
      </c>
      <c r="H62" s="58"/>
      <c r="I62" s="104">
        <v>1571</v>
      </c>
      <c r="J62" s="35">
        <f t="shared" ref="J62:L62" si="54">SUM(J56:J61)</f>
        <v>1440.0833333333335</v>
      </c>
      <c r="K62" s="35">
        <f t="shared" si="54"/>
        <v>2451.7199999999998</v>
      </c>
      <c r="L62" s="158">
        <f t="shared" si="54"/>
        <v>-1011.6366666666665</v>
      </c>
      <c r="M62" s="44"/>
      <c r="N62" s="327"/>
      <c r="O62" s="328">
        <f>SUM(O56:O61)</f>
        <v>272</v>
      </c>
      <c r="P62" s="329">
        <f>SUM(P56:P61)</f>
        <v>1630</v>
      </c>
      <c r="Q62" s="641">
        <f>+O62/S62</f>
        <v>0.20029455081001474</v>
      </c>
      <c r="R62" s="331"/>
      <c r="S62" s="330">
        <v>1358</v>
      </c>
      <c r="T62" s="331">
        <f t="shared" ref="T62:V62" si="55">SUM(T56:T61)</f>
        <v>1244.8333333333333</v>
      </c>
      <c r="U62" s="331">
        <f t="shared" si="55"/>
        <v>796.07</v>
      </c>
      <c r="V62" s="332">
        <f t="shared" si="55"/>
        <v>448.76333333333326</v>
      </c>
      <c r="W62" s="8"/>
      <c r="X62" s="342"/>
      <c r="Y62" s="59">
        <f>SUM(Y56:Y61)</f>
        <v>1036</v>
      </c>
      <c r="Z62" s="60">
        <f>SUM(Z56:Z61)</f>
        <v>5860</v>
      </c>
      <c r="AA62" s="641">
        <f>+Y62/AC62</f>
        <v>0.21475953565505804</v>
      </c>
      <c r="AB62" s="61"/>
      <c r="AC62" s="104">
        <v>4824</v>
      </c>
      <c r="AD62" s="58">
        <f t="shared" ref="AD62:AF62" si="56">SUM(AD56:AD61)</f>
        <v>4422</v>
      </c>
      <c r="AE62" s="58">
        <f t="shared" si="56"/>
        <v>5527.0399999999991</v>
      </c>
      <c r="AF62" s="179">
        <f t="shared" si="56"/>
        <v>-1105.0399999999997</v>
      </c>
      <c r="AG62" s="8"/>
      <c r="AH62" s="342"/>
      <c r="AI62" s="33">
        <f>SUM(AI56:AI61)</f>
        <v>144</v>
      </c>
      <c r="AJ62" s="34">
        <f>SUM(AJ56:AJ61)</f>
        <v>989</v>
      </c>
      <c r="AK62" s="641">
        <f>+AI62/AM62</f>
        <v>0.17041420118343195</v>
      </c>
      <c r="AL62" s="61"/>
      <c r="AM62" s="104">
        <v>845</v>
      </c>
      <c r="AN62" s="35">
        <f>SUM(AN56:AN61)</f>
        <v>774.58333333333326</v>
      </c>
      <c r="AO62" s="35">
        <f>SUM(AO56:AO61)</f>
        <v>563.86</v>
      </c>
      <c r="AP62" s="158">
        <f>SUM(AP56:AP61)</f>
        <v>210.72333333333327</v>
      </c>
      <c r="AQ62" s="8"/>
      <c r="AR62" s="342"/>
      <c r="AS62" s="33">
        <f>SUM(AS56:AS61)</f>
        <v>179.5</v>
      </c>
      <c r="AT62" s="34">
        <f>SUM(AT56:AT61)</f>
        <v>1450.5</v>
      </c>
      <c r="AU62" s="641">
        <f>+AS62/AW62</f>
        <v>0.14122738001573565</v>
      </c>
      <c r="AV62" s="94"/>
      <c r="AW62" s="104">
        <v>1271</v>
      </c>
      <c r="AX62" s="35">
        <f t="shared" ref="AX62:AZ62" si="57">SUM(AX56:AX61)</f>
        <v>1165.0833333333335</v>
      </c>
      <c r="AY62" s="35">
        <f t="shared" si="57"/>
        <v>1310.28</v>
      </c>
      <c r="AZ62" s="158">
        <f t="shared" si="57"/>
        <v>-145.19666666666669</v>
      </c>
    </row>
    <row r="63" spans="1:52" x14ac:dyDescent="0.3">
      <c r="A63" s="2"/>
      <c r="B63" s="30"/>
      <c r="C63" s="30"/>
      <c r="D63" s="210"/>
      <c r="E63" s="43"/>
      <c r="F63" s="159"/>
      <c r="G63" s="160"/>
      <c r="H63" s="146"/>
      <c r="I63" s="145"/>
      <c r="J63" s="45"/>
      <c r="K63" s="45"/>
      <c r="L63" s="161"/>
      <c r="M63" s="78"/>
      <c r="N63" s="216"/>
      <c r="O63" s="257"/>
      <c r="P63" s="253"/>
      <c r="Q63" s="242"/>
      <c r="R63" s="258"/>
      <c r="S63" s="242"/>
      <c r="T63" s="254"/>
      <c r="U63" s="254"/>
      <c r="V63" s="255"/>
      <c r="W63" s="8"/>
      <c r="X63" s="274"/>
      <c r="Y63" s="51"/>
      <c r="Z63" s="177"/>
      <c r="AA63" s="242"/>
      <c r="AB63" s="180"/>
      <c r="AC63" s="160"/>
      <c r="AD63" s="52"/>
      <c r="AE63" s="52"/>
      <c r="AF63" s="178"/>
      <c r="AG63" s="8"/>
      <c r="AH63" s="274"/>
      <c r="AI63" s="297"/>
      <c r="AJ63" s="177"/>
      <c r="AK63" s="242"/>
      <c r="AL63" s="117"/>
      <c r="AM63" s="172"/>
      <c r="AN63" s="117"/>
      <c r="AO63" s="117"/>
      <c r="AP63" s="298"/>
      <c r="AQ63" s="8"/>
      <c r="AR63" s="274"/>
      <c r="AS63" s="51"/>
      <c r="AT63" s="177"/>
      <c r="AU63" s="242"/>
      <c r="AV63" s="172"/>
      <c r="AW63" s="172"/>
      <c r="AX63" s="52"/>
      <c r="AY63" s="52"/>
      <c r="AZ63" s="178"/>
    </row>
    <row r="64" spans="1:52" x14ac:dyDescent="0.3">
      <c r="A64" s="4" t="s">
        <v>18</v>
      </c>
      <c r="B64" s="115"/>
      <c r="C64" s="115"/>
      <c r="D64" s="211"/>
      <c r="E64" s="200"/>
      <c r="F64" s="159"/>
      <c r="G64" s="160"/>
      <c r="H64" s="162"/>
      <c r="I64" s="145"/>
      <c r="J64" s="151"/>
      <c r="K64" s="151"/>
      <c r="L64" s="153"/>
      <c r="M64" s="78"/>
      <c r="N64" s="216"/>
      <c r="O64" s="257"/>
      <c r="P64" s="253"/>
      <c r="Q64" s="242"/>
      <c r="R64" s="241"/>
      <c r="S64" s="242"/>
      <c r="T64" s="254"/>
      <c r="U64" s="254"/>
      <c r="V64" s="255"/>
      <c r="X64" s="274"/>
      <c r="Y64" s="51"/>
      <c r="Z64" s="177"/>
      <c r="AA64" s="242"/>
      <c r="AB64" s="171"/>
      <c r="AC64" s="172"/>
      <c r="AD64" s="52"/>
      <c r="AE64" s="52"/>
      <c r="AF64" s="178"/>
      <c r="AH64" s="274"/>
      <c r="AI64" s="297"/>
      <c r="AJ64" s="177"/>
      <c r="AK64" s="242"/>
      <c r="AL64" s="171"/>
      <c r="AM64" s="172"/>
      <c r="AN64" s="117"/>
      <c r="AO64" s="117"/>
      <c r="AP64" s="298"/>
      <c r="AR64" s="274"/>
      <c r="AS64" s="51"/>
      <c r="AT64" s="177"/>
      <c r="AU64" s="242"/>
      <c r="AV64" s="172"/>
      <c r="AW64" s="172"/>
      <c r="AX64" s="52"/>
      <c r="AY64" s="52"/>
      <c r="AZ64" s="178"/>
    </row>
    <row r="65" spans="1:52" x14ac:dyDescent="0.3">
      <c r="A65" s="3" t="s">
        <v>17</v>
      </c>
      <c r="B65" s="32" t="s">
        <v>137</v>
      </c>
      <c r="C65" s="32"/>
      <c r="D65" s="210">
        <v>6520</v>
      </c>
      <c r="E65" s="200">
        <f>F65-I65</f>
        <v>0</v>
      </c>
      <c r="F65" s="154">
        <v>200</v>
      </c>
      <c r="G65" s="639">
        <f t="shared" ref="G65:G68" si="58">+E65/I65</f>
        <v>0</v>
      </c>
      <c r="H65" s="66"/>
      <c r="I65" s="150">
        <v>200</v>
      </c>
      <c r="J65" s="151">
        <f>I65/12*Summary!$G$31</f>
        <v>183.33333333333334</v>
      </c>
      <c r="K65" s="152">
        <v>538.79999999999995</v>
      </c>
      <c r="L65" s="153">
        <f t="shared" ref="L65:L68" si="59">J65-K65</f>
        <v>-355.46666666666658</v>
      </c>
      <c r="M65" s="81"/>
      <c r="N65" s="210">
        <v>6770</v>
      </c>
      <c r="O65" s="244">
        <f t="shared" ref="O65:O70" si="60">P65-S65</f>
        <v>50</v>
      </c>
      <c r="P65" s="250">
        <v>250</v>
      </c>
      <c r="Q65" s="639">
        <f t="shared" ref="Q65:Q69" si="61">+O65/S65</f>
        <v>0.25</v>
      </c>
      <c r="R65" s="246"/>
      <c r="S65" s="251">
        <v>200</v>
      </c>
      <c r="T65" s="247">
        <f>S65/12*Summary!$G$31</f>
        <v>183.33333333333334</v>
      </c>
      <c r="U65" s="248">
        <v>364.98</v>
      </c>
      <c r="V65" s="249">
        <f t="shared" ref="V65:V69" si="62">T65-U65</f>
        <v>-181.64666666666668</v>
      </c>
      <c r="X65" s="274">
        <v>7020</v>
      </c>
      <c r="Y65" s="200">
        <f t="shared" ref="Y65:Y70" si="63">Z65-AC65</f>
        <v>0</v>
      </c>
      <c r="Z65" s="154">
        <v>500</v>
      </c>
      <c r="AA65" s="639">
        <v>0</v>
      </c>
      <c r="AB65" s="175"/>
      <c r="AC65" s="150">
        <v>500</v>
      </c>
      <c r="AD65" s="151">
        <f>AC65/12*Summary!$G$31</f>
        <v>458.33333333333331</v>
      </c>
      <c r="AE65" s="152">
        <v>290.49</v>
      </c>
      <c r="AF65" s="153">
        <f t="shared" ref="AF65:AF69" si="64">AD65-AE65</f>
        <v>167.84333333333331</v>
      </c>
      <c r="AH65" s="274">
        <v>7270</v>
      </c>
      <c r="AI65" s="200">
        <f t="shared" ref="AI65:AI70" si="65">AJ65-AM65</f>
        <v>0</v>
      </c>
      <c r="AJ65" s="154">
        <v>250</v>
      </c>
      <c r="AK65" s="639">
        <v>0</v>
      </c>
      <c r="AL65" s="175"/>
      <c r="AM65" s="150">
        <v>250</v>
      </c>
      <c r="AN65" s="151">
        <f>AM65/12*Summary!$G$31</f>
        <v>229.16666666666666</v>
      </c>
      <c r="AO65" s="176">
        <v>480.6</v>
      </c>
      <c r="AP65" s="153">
        <f t="shared" ref="AP65:AP66" si="66">AN65-AO65</f>
        <v>-251.43333333333337</v>
      </c>
      <c r="AR65" s="274">
        <v>7770</v>
      </c>
      <c r="AS65" s="200">
        <f>AT65-AW65</f>
        <v>0</v>
      </c>
      <c r="AT65" s="154">
        <v>200</v>
      </c>
      <c r="AU65" s="639">
        <v>0</v>
      </c>
      <c r="AV65" s="155"/>
      <c r="AW65" s="150">
        <v>200</v>
      </c>
      <c r="AX65" s="151">
        <f>AW65/12*Summary!$G$31</f>
        <v>183.33333333333334</v>
      </c>
      <c r="AY65" s="176">
        <v>230</v>
      </c>
      <c r="AZ65" s="153">
        <f t="shared" ref="AZ65:AZ68" si="67">AX65-AY65</f>
        <v>-46.666666666666657</v>
      </c>
    </row>
    <row r="66" spans="1:52" x14ac:dyDescent="0.3">
      <c r="A66" s="3" t="s">
        <v>13</v>
      </c>
      <c r="B66" s="32" t="s">
        <v>137</v>
      </c>
      <c r="C66" s="32"/>
      <c r="D66" s="210">
        <v>6521</v>
      </c>
      <c r="E66" s="200">
        <f>F66-I66</f>
        <v>0</v>
      </c>
      <c r="F66" s="154">
        <v>50</v>
      </c>
      <c r="G66" s="639">
        <f t="shared" si="58"/>
        <v>0</v>
      </c>
      <c r="H66" s="66"/>
      <c r="I66" s="150">
        <v>50</v>
      </c>
      <c r="J66" s="151">
        <f>I66/12*Summary!$G$31</f>
        <v>45.833333333333336</v>
      </c>
      <c r="K66" s="152">
        <v>0</v>
      </c>
      <c r="L66" s="153">
        <f t="shared" si="59"/>
        <v>45.833333333333336</v>
      </c>
      <c r="M66" s="81"/>
      <c r="N66" s="210">
        <v>6771</v>
      </c>
      <c r="O66" s="244">
        <f t="shared" si="60"/>
        <v>0</v>
      </c>
      <c r="P66" s="250">
        <v>50</v>
      </c>
      <c r="Q66" s="639">
        <f t="shared" si="61"/>
        <v>0</v>
      </c>
      <c r="R66" s="246"/>
      <c r="S66" s="251">
        <v>50</v>
      </c>
      <c r="T66" s="247">
        <f>S66/12*Summary!$G$31</f>
        <v>45.833333333333336</v>
      </c>
      <c r="U66" s="248">
        <v>0</v>
      </c>
      <c r="V66" s="249">
        <f t="shared" si="62"/>
        <v>45.833333333333336</v>
      </c>
      <c r="X66" s="274">
        <v>7021</v>
      </c>
      <c r="Y66" s="200">
        <f t="shared" si="63"/>
        <v>0</v>
      </c>
      <c r="Z66" s="154">
        <v>100</v>
      </c>
      <c r="AA66" s="639">
        <f t="shared" ref="AA66:AA69" si="68">+Y66/AC66</f>
        <v>0</v>
      </c>
      <c r="AB66" s="175"/>
      <c r="AC66" s="150">
        <v>100</v>
      </c>
      <c r="AD66" s="151">
        <f>AC66/12*Summary!$G$31</f>
        <v>91.666666666666671</v>
      </c>
      <c r="AE66" s="152">
        <v>0</v>
      </c>
      <c r="AF66" s="153">
        <f t="shared" si="64"/>
        <v>91.666666666666671</v>
      </c>
      <c r="AH66" s="274">
        <v>7271</v>
      </c>
      <c r="AI66" s="200">
        <f t="shared" si="65"/>
        <v>0</v>
      </c>
      <c r="AJ66" s="154">
        <v>50</v>
      </c>
      <c r="AK66" s="639">
        <f t="shared" ref="AK66:AK69" si="69">+AI66/AM66</f>
        <v>0</v>
      </c>
      <c r="AL66" s="175"/>
      <c r="AM66" s="150">
        <v>50</v>
      </c>
      <c r="AN66" s="151">
        <f>AM66/12*Summary!$G$31</f>
        <v>45.833333333333336</v>
      </c>
      <c r="AO66" s="176">
        <v>0</v>
      </c>
      <c r="AP66" s="153">
        <f t="shared" si="66"/>
        <v>45.833333333333336</v>
      </c>
      <c r="AR66" s="274">
        <v>7771</v>
      </c>
      <c r="AS66" s="200">
        <f>AT66-AW66</f>
        <v>0</v>
      </c>
      <c r="AT66" s="154">
        <v>50</v>
      </c>
      <c r="AU66" s="639">
        <f t="shared" ref="AU66:AU68" si="70">+AS66/AW66</f>
        <v>0</v>
      </c>
      <c r="AV66" s="155"/>
      <c r="AW66" s="150">
        <v>50</v>
      </c>
      <c r="AX66" s="151">
        <f>AW66/12*Summary!$G$31</f>
        <v>45.833333333333336</v>
      </c>
      <c r="AY66" s="176">
        <v>0</v>
      </c>
      <c r="AZ66" s="153">
        <f t="shared" si="67"/>
        <v>45.833333333333336</v>
      </c>
    </row>
    <row r="67" spans="1:52" x14ac:dyDescent="0.3">
      <c r="A67" s="698" t="s">
        <v>306</v>
      </c>
      <c r="B67" s="32" t="s">
        <v>137</v>
      </c>
      <c r="C67" s="32"/>
      <c r="D67" s="210">
        <v>6522</v>
      </c>
      <c r="E67" s="200">
        <f>F67-I67</f>
        <v>303.8</v>
      </c>
      <c r="F67" s="154">
        <f>192+211.8</f>
        <v>403.8</v>
      </c>
      <c r="G67" s="701">
        <f t="shared" si="58"/>
        <v>3.0380000000000003</v>
      </c>
      <c r="H67" s="66"/>
      <c r="I67" s="150">
        <v>100</v>
      </c>
      <c r="J67" s="151">
        <f>I67/12*Summary!$G$31</f>
        <v>91.666666666666671</v>
      </c>
      <c r="K67" s="152">
        <v>211.8</v>
      </c>
      <c r="L67" s="153">
        <f>J67-K67</f>
        <v>-120.13333333333334</v>
      </c>
      <c r="M67" s="81"/>
      <c r="N67" s="210">
        <v>6774</v>
      </c>
      <c r="O67" s="244">
        <f t="shared" si="60"/>
        <v>387.8</v>
      </c>
      <c r="P67" s="250">
        <f>252+235.8</f>
        <v>487.8</v>
      </c>
      <c r="Q67" s="639">
        <f t="shared" si="61"/>
        <v>3.8780000000000001</v>
      </c>
      <c r="R67" s="246"/>
      <c r="S67" s="251">
        <v>100</v>
      </c>
      <c r="T67" s="247">
        <f>S67/12*Summary!$G$31</f>
        <v>91.666666666666671</v>
      </c>
      <c r="U67" s="248">
        <v>663.32</v>
      </c>
      <c r="V67" s="249">
        <f>T67-U67</f>
        <v>-571.65333333333342</v>
      </c>
      <c r="X67" s="274">
        <v>7024</v>
      </c>
      <c r="Y67" s="200">
        <f t="shared" si="63"/>
        <v>1172.8</v>
      </c>
      <c r="Z67" s="154">
        <f>492+880.8</f>
        <v>1372.8</v>
      </c>
      <c r="AA67" s="639">
        <f t="shared" si="68"/>
        <v>5.8639999999999999</v>
      </c>
      <c r="AB67" s="175"/>
      <c r="AC67" s="150">
        <v>200</v>
      </c>
      <c r="AD67" s="151">
        <f>AC67/12*Summary!$G$31</f>
        <v>183.33333333333334</v>
      </c>
      <c r="AE67" s="152">
        <v>1640.09</v>
      </c>
      <c r="AF67" s="153">
        <f>AD67-AE67</f>
        <v>-1456.7566666666667</v>
      </c>
      <c r="AH67" s="274">
        <v>7273</v>
      </c>
      <c r="AI67" s="200">
        <f>AJ67-AM67</f>
        <v>201.8</v>
      </c>
      <c r="AJ67" s="696">
        <f>132+169.8</f>
        <v>301.8</v>
      </c>
      <c r="AK67" s="639">
        <f t="shared" si="69"/>
        <v>2.0180000000000002</v>
      </c>
      <c r="AL67" s="175"/>
      <c r="AM67" s="172">
        <v>100</v>
      </c>
      <c r="AN67" s="151">
        <f>AM67/12*Summary!$G$31</f>
        <v>91.666666666666671</v>
      </c>
      <c r="AO67" s="176">
        <v>354.6</v>
      </c>
      <c r="AP67" s="153">
        <f>AN67-AO67</f>
        <v>-262.93333333333334</v>
      </c>
      <c r="AR67" s="274">
        <v>7772</v>
      </c>
      <c r="AS67" s="200">
        <f>AT67-AW67</f>
        <v>234.8</v>
      </c>
      <c r="AT67" s="154">
        <f>192+142.8</f>
        <v>334.8</v>
      </c>
      <c r="AU67" s="639">
        <f t="shared" si="70"/>
        <v>2.3480000000000003</v>
      </c>
      <c r="AV67" s="155"/>
      <c r="AW67" s="150">
        <v>100</v>
      </c>
      <c r="AX67" s="151">
        <f>AW67/12*Summary!$G$31</f>
        <v>91.666666666666671</v>
      </c>
      <c r="AY67" s="176">
        <v>142.80000000000001</v>
      </c>
      <c r="AZ67" s="153">
        <f>AX67-AY67</f>
        <v>-51.13333333333334</v>
      </c>
    </row>
    <row r="68" spans="1:52" x14ac:dyDescent="0.3">
      <c r="A68" s="3" t="s">
        <v>283</v>
      </c>
      <c r="B68" s="32" t="s">
        <v>137</v>
      </c>
      <c r="C68" s="32"/>
      <c r="D68" s="210">
        <v>6523</v>
      </c>
      <c r="E68" s="200">
        <f>F68-I68</f>
        <v>49</v>
      </c>
      <c r="F68" s="154">
        <v>100</v>
      </c>
      <c r="G68" s="639">
        <f t="shared" si="58"/>
        <v>0.96078431372549022</v>
      </c>
      <c r="H68" s="66"/>
      <c r="I68" s="150">
        <v>51</v>
      </c>
      <c r="J68" s="151">
        <f>I68/12*Summary!$G$31</f>
        <v>46.75</v>
      </c>
      <c r="K68" s="152">
        <v>116.5</v>
      </c>
      <c r="L68" s="153">
        <f t="shared" si="59"/>
        <v>-69.75</v>
      </c>
      <c r="M68" s="81"/>
      <c r="N68" s="210">
        <v>6772</v>
      </c>
      <c r="O68" s="244">
        <f t="shared" si="60"/>
        <v>49</v>
      </c>
      <c r="P68" s="250">
        <v>100</v>
      </c>
      <c r="Q68" s="639">
        <f t="shared" si="61"/>
        <v>0.96078431372549022</v>
      </c>
      <c r="R68" s="246"/>
      <c r="S68" s="251">
        <v>51</v>
      </c>
      <c r="T68" s="247">
        <f>S68/12*Summary!$G$31</f>
        <v>46.75</v>
      </c>
      <c r="U68" s="248">
        <v>103.11</v>
      </c>
      <c r="V68" s="249">
        <f t="shared" si="62"/>
        <v>-56.36</v>
      </c>
      <c r="X68" s="274">
        <v>7022</v>
      </c>
      <c r="Y68" s="200">
        <f t="shared" si="63"/>
        <v>100</v>
      </c>
      <c r="Z68" s="154">
        <v>200</v>
      </c>
      <c r="AA68" s="639">
        <f t="shared" si="68"/>
        <v>1</v>
      </c>
      <c r="AB68" s="175"/>
      <c r="AC68" s="150">
        <v>100</v>
      </c>
      <c r="AD68" s="151">
        <f>AC68/12*Summary!$G$31</f>
        <v>91.666666666666671</v>
      </c>
      <c r="AE68" s="152">
        <v>135.80000000000001</v>
      </c>
      <c r="AF68" s="153">
        <f t="shared" si="64"/>
        <v>-44.13333333333334</v>
      </c>
      <c r="AH68" s="274">
        <v>7272</v>
      </c>
      <c r="AI68" s="200">
        <f t="shared" si="65"/>
        <v>140</v>
      </c>
      <c r="AJ68" s="154">
        <v>200</v>
      </c>
      <c r="AK68" s="639">
        <f t="shared" si="69"/>
        <v>2.3333333333333335</v>
      </c>
      <c r="AL68" s="175"/>
      <c r="AM68" s="150">
        <v>60</v>
      </c>
      <c r="AN68" s="151">
        <f>AM68/12*Summary!$G$31</f>
        <v>55</v>
      </c>
      <c r="AO68" s="176">
        <v>116.6</v>
      </c>
      <c r="AP68" s="153">
        <f>AN68-AO68</f>
        <v>-61.599999999999994</v>
      </c>
      <c r="AR68" s="274">
        <v>7773</v>
      </c>
      <c r="AS68" s="200">
        <f>AT68-AW68</f>
        <v>50</v>
      </c>
      <c r="AT68" s="174">
        <v>100</v>
      </c>
      <c r="AU68" s="639">
        <f t="shared" si="70"/>
        <v>1</v>
      </c>
      <c r="AV68" s="172"/>
      <c r="AW68" s="172">
        <v>50</v>
      </c>
      <c r="AX68" s="151">
        <f>AW68/12*Summary!$G$31</f>
        <v>45.833333333333336</v>
      </c>
      <c r="AY68" s="176">
        <v>92.94</v>
      </c>
      <c r="AZ68" s="153">
        <f t="shared" si="67"/>
        <v>-47.106666666666662</v>
      </c>
    </row>
    <row r="69" spans="1:52" ht="15.75" customHeight="1" x14ac:dyDescent="0.3">
      <c r="A69" s="15" t="s">
        <v>19</v>
      </c>
      <c r="B69" s="32"/>
      <c r="C69" s="32"/>
      <c r="D69" s="276"/>
      <c r="E69" s="277"/>
      <c r="F69" s="278"/>
      <c r="G69" s="278"/>
      <c r="H69" s="279"/>
      <c r="I69" s="280"/>
      <c r="J69" s="281"/>
      <c r="K69" s="281"/>
      <c r="L69" s="282"/>
      <c r="M69" s="291"/>
      <c r="N69" s="315">
        <v>6773</v>
      </c>
      <c r="O69" s="316">
        <f t="shared" si="60"/>
        <v>0</v>
      </c>
      <c r="P69" s="250">
        <v>250</v>
      </c>
      <c r="Q69" s="639">
        <f t="shared" si="61"/>
        <v>0</v>
      </c>
      <c r="R69" s="317"/>
      <c r="S69" s="318">
        <v>250</v>
      </c>
      <c r="T69" s="319">
        <v>500</v>
      </c>
      <c r="U69" s="248">
        <v>104.9</v>
      </c>
      <c r="V69" s="249">
        <f t="shared" si="62"/>
        <v>395.1</v>
      </c>
      <c r="W69" s="292"/>
      <c r="X69" s="302">
        <v>7023</v>
      </c>
      <c r="Y69" s="320">
        <f t="shared" si="63"/>
        <v>132</v>
      </c>
      <c r="Z69" s="154">
        <v>300</v>
      </c>
      <c r="AA69" s="639">
        <f t="shared" si="68"/>
        <v>0.7857142857142857</v>
      </c>
      <c r="AB69" s="321"/>
      <c r="AC69" s="322">
        <v>168</v>
      </c>
      <c r="AD69" s="323">
        <v>100</v>
      </c>
      <c r="AE69" s="152">
        <v>433.59</v>
      </c>
      <c r="AF69" s="153">
        <f t="shared" si="64"/>
        <v>-333.59</v>
      </c>
      <c r="AH69" s="302">
        <v>7274</v>
      </c>
      <c r="AI69" s="200">
        <f t="shared" si="65"/>
        <v>126.51999999999998</v>
      </c>
      <c r="AJ69" s="149">
        <v>294.52</v>
      </c>
      <c r="AK69" s="639">
        <f t="shared" si="69"/>
        <v>0.75309523809523804</v>
      </c>
      <c r="AL69" s="175"/>
      <c r="AM69" s="150">
        <v>168</v>
      </c>
      <c r="AN69" s="151">
        <f>AM69/12*Summary!$G$31</f>
        <v>154</v>
      </c>
      <c r="AO69" s="176">
        <v>284.26</v>
      </c>
      <c r="AP69" s="153">
        <f>AN69-AO69</f>
        <v>-130.26</v>
      </c>
      <c r="AR69" s="313"/>
      <c r="AS69" s="314"/>
      <c r="AT69" s="314"/>
      <c r="AU69" s="666">
        <v>0</v>
      </c>
      <c r="AV69" s="314"/>
      <c r="AW69" s="314"/>
      <c r="AX69" s="314"/>
      <c r="AY69" s="314"/>
      <c r="AZ69" s="324"/>
    </row>
    <row r="70" spans="1:52" x14ac:dyDescent="0.3">
      <c r="A70" s="3" t="s">
        <v>284</v>
      </c>
      <c r="B70" s="3"/>
      <c r="C70" s="3"/>
      <c r="D70" s="216">
        <v>6527</v>
      </c>
      <c r="E70" s="200">
        <f>F70-I70</f>
        <v>0</v>
      </c>
      <c r="F70" s="149">
        <v>0</v>
      </c>
      <c r="G70" s="639">
        <v>0</v>
      </c>
      <c r="H70" s="66"/>
      <c r="I70" s="150">
        <v>0</v>
      </c>
      <c r="J70" s="151">
        <f>I70/12*Summary!$G$31</f>
        <v>0</v>
      </c>
      <c r="K70" s="152"/>
      <c r="L70" s="153">
        <f t="shared" ref="L70" si="71">J70-K70</f>
        <v>0</v>
      </c>
      <c r="M70" s="79"/>
      <c r="N70" s="216">
        <v>6778</v>
      </c>
      <c r="O70" s="244">
        <f t="shared" si="60"/>
        <v>0</v>
      </c>
      <c r="P70" s="245">
        <v>0</v>
      </c>
      <c r="Q70" s="639">
        <v>0</v>
      </c>
      <c r="R70" s="246"/>
      <c r="S70" s="242">
        <v>0</v>
      </c>
      <c r="T70" s="247">
        <f>S70/12*Summary!$G$31</f>
        <v>0</v>
      </c>
      <c r="U70" s="252">
        <v>0</v>
      </c>
      <c r="V70" s="249">
        <f t="shared" ref="V70" si="72">T70-U70</f>
        <v>0</v>
      </c>
      <c r="X70" s="274">
        <v>7057</v>
      </c>
      <c r="Y70" s="200">
        <f t="shared" si="63"/>
        <v>0</v>
      </c>
      <c r="Z70" s="174">
        <v>0</v>
      </c>
      <c r="AA70" s="639">
        <v>0</v>
      </c>
      <c r="AB70" s="175"/>
      <c r="AC70" s="172">
        <v>0</v>
      </c>
      <c r="AD70" s="151">
        <f>AC70/12*Summary!$G$31</f>
        <v>0</v>
      </c>
      <c r="AE70" s="176">
        <v>0</v>
      </c>
      <c r="AF70" s="153">
        <f t="shared" ref="AF70" si="73">AD70-AE70</f>
        <v>0</v>
      </c>
      <c r="AH70" s="274">
        <v>7278</v>
      </c>
      <c r="AI70" s="200">
        <f t="shared" si="65"/>
        <v>0</v>
      </c>
      <c r="AJ70" s="174">
        <v>0</v>
      </c>
      <c r="AK70" s="639">
        <v>0</v>
      </c>
      <c r="AL70" s="175"/>
      <c r="AM70" s="172">
        <v>0</v>
      </c>
      <c r="AN70" s="151">
        <f>AM70/12*Summary!$G$31</f>
        <v>0</v>
      </c>
      <c r="AO70" s="176">
        <v>0</v>
      </c>
      <c r="AP70" s="153">
        <f>AN70-AO70</f>
        <v>0</v>
      </c>
      <c r="AR70" s="302">
        <v>7777</v>
      </c>
      <c r="AS70" s="200">
        <f>AT70-AW70</f>
        <v>0</v>
      </c>
      <c r="AT70" s="174">
        <v>0</v>
      </c>
      <c r="AU70" s="639">
        <v>0</v>
      </c>
      <c r="AV70" s="172"/>
      <c r="AW70" s="172">
        <v>0</v>
      </c>
      <c r="AX70" s="151">
        <f>AW70/12*Summary!$G$31</f>
        <v>0</v>
      </c>
      <c r="AY70" s="176">
        <v>0</v>
      </c>
      <c r="AZ70" s="153">
        <f>AX70-AY70</f>
        <v>0</v>
      </c>
    </row>
    <row r="71" spans="1:52" x14ac:dyDescent="0.3">
      <c r="A71" s="3"/>
      <c r="B71" s="3"/>
      <c r="C71" s="3"/>
      <c r="D71" s="216"/>
      <c r="E71" s="200"/>
      <c r="F71" s="156"/>
      <c r="G71" s="150"/>
      <c r="H71" s="66"/>
      <c r="I71" s="157"/>
      <c r="J71" s="151"/>
      <c r="K71" s="151"/>
      <c r="L71" s="153"/>
      <c r="M71" s="79"/>
      <c r="N71" s="212"/>
      <c r="O71" s="244"/>
      <c r="P71" s="253"/>
      <c r="Q71" s="242"/>
      <c r="R71" s="246"/>
      <c r="S71" s="242"/>
      <c r="T71" s="254"/>
      <c r="U71" s="254"/>
      <c r="V71" s="255"/>
      <c r="X71" s="274"/>
      <c r="Y71" s="200"/>
      <c r="Z71" s="177"/>
      <c r="AA71" s="242"/>
      <c r="AB71" s="175"/>
      <c r="AC71" s="172"/>
      <c r="AD71" s="52"/>
      <c r="AE71" s="52"/>
      <c r="AF71" s="178"/>
      <c r="AH71" s="135"/>
      <c r="AI71" s="200"/>
      <c r="AJ71" s="177"/>
      <c r="AK71" s="242"/>
      <c r="AL71" s="175"/>
      <c r="AM71" s="172"/>
      <c r="AN71" s="151"/>
      <c r="AO71" s="117"/>
      <c r="AP71" s="298"/>
      <c r="AR71" s="274"/>
      <c r="AS71" s="51"/>
      <c r="AT71" s="177"/>
      <c r="AU71" s="242"/>
      <c r="AV71" s="172"/>
      <c r="AW71" s="172"/>
      <c r="AX71" s="52"/>
      <c r="AY71" s="52"/>
      <c r="AZ71" s="178"/>
    </row>
    <row r="72" spans="1:52" ht="15" thickBot="1" x14ac:dyDescent="0.35">
      <c r="A72" s="58" t="s">
        <v>104</v>
      </c>
      <c r="B72" s="61"/>
      <c r="C72" s="61"/>
      <c r="D72" s="333"/>
      <c r="E72" s="33">
        <f>SUM(E64:E71)</f>
        <v>352.8</v>
      </c>
      <c r="F72" s="34">
        <f>SUM(F64:F71)</f>
        <v>753.8</v>
      </c>
      <c r="G72" s="641">
        <f>+E72/I72</f>
        <v>0.87980049875311728</v>
      </c>
      <c r="H72" s="58"/>
      <c r="I72" s="104">
        <f>SUM(I64:I71)</f>
        <v>401</v>
      </c>
      <c r="J72" s="35">
        <f>SUM(J64:J71)</f>
        <v>367.58333333333337</v>
      </c>
      <c r="K72" s="35">
        <f>SUM(K64:K71)</f>
        <v>867.09999999999991</v>
      </c>
      <c r="L72" s="158">
        <f>SUM(L64:L71)</f>
        <v>-499.51666666666659</v>
      </c>
      <c r="M72" s="44"/>
      <c r="N72" s="334"/>
      <c r="O72" s="328">
        <f>SUM(O64:O71)</f>
        <v>486.8</v>
      </c>
      <c r="P72" s="329">
        <f>SUM(P64:P71)</f>
        <v>1137.8</v>
      </c>
      <c r="Q72" s="641">
        <f>+O72/S72</f>
        <v>0.74777265745007682</v>
      </c>
      <c r="R72" s="331"/>
      <c r="S72" s="330">
        <f>SUM(S64:S71)</f>
        <v>651</v>
      </c>
      <c r="T72" s="331">
        <f>SUM(T64:T71)</f>
        <v>867.58333333333337</v>
      </c>
      <c r="U72" s="331">
        <f>SUM(U64:U71)</f>
        <v>1236.3100000000002</v>
      </c>
      <c r="V72" s="332">
        <f>SUM(V64:V71)</f>
        <v>-368.72666666666669</v>
      </c>
      <c r="W72" s="8"/>
      <c r="X72" s="342"/>
      <c r="Y72" s="59">
        <f>SUM(Y64:Y71)</f>
        <v>1404.8</v>
      </c>
      <c r="Z72" s="60">
        <f>SUM(Z64:Z71)</f>
        <v>2472.8000000000002</v>
      </c>
      <c r="AA72" s="641">
        <f>+Y72/AC72</f>
        <v>1.3153558052434458</v>
      </c>
      <c r="AB72" s="61"/>
      <c r="AC72" s="106">
        <f>SUM(AC64:AC70)</f>
        <v>1068</v>
      </c>
      <c r="AD72" s="58">
        <f>SUM(AD64:AD71)</f>
        <v>925</v>
      </c>
      <c r="AE72" s="58">
        <f>SUM(AE64:AE71)</f>
        <v>2499.9700000000003</v>
      </c>
      <c r="AF72" s="179">
        <f>SUM(AF64:AF71)</f>
        <v>-1574.97</v>
      </c>
      <c r="AG72" s="8"/>
      <c r="AH72" s="343"/>
      <c r="AI72" s="36">
        <f>SUM(AI64:AI71)</f>
        <v>468.32</v>
      </c>
      <c r="AJ72" s="37">
        <f>SUM(AJ64:AJ71)</f>
        <v>1096.32</v>
      </c>
      <c r="AK72" s="641">
        <f>+AI72/AM72</f>
        <v>0.74573248407643311</v>
      </c>
      <c r="AL72" s="473"/>
      <c r="AM72" s="109">
        <v>628</v>
      </c>
      <c r="AN72" s="38">
        <f>SUM(AN64:AN71)</f>
        <v>575.66666666666674</v>
      </c>
      <c r="AO72" s="38">
        <f>SUM(AO64:AO71)</f>
        <v>1236.06</v>
      </c>
      <c r="AP72" s="179">
        <f>SUM(AP64:AP71)</f>
        <v>-660.39333333333332</v>
      </c>
      <c r="AQ72" s="8"/>
      <c r="AR72" s="344"/>
      <c r="AS72" s="59">
        <f>SUM(AS64:AS71)</f>
        <v>284.8</v>
      </c>
      <c r="AT72" s="60">
        <f>SUM(AT64:AT71)</f>
        <v>684.8</v>
      </c>
      <c r="AU72" s="641">
        <f>+AS72/AW72</f>
        <v>0.71200000000000008</v>
      </c>
      <c r="AV72" s="124"/>
      <c r="AW72" s="106">
        <v>400</v>
      </c>
      <c r="AX72" s="58">
        <f>SUM(AX64:AX71)</f>
        <v>366.66666666666669</v>
      </c>
      <c r="AY72" s="58">
        <f>SUM(AY64:AY71)</f>
        <v>465.74</v>
      </c>
      <c r="AZ72" s="179">
        <f>SUM(AZ64:AZ71)</f>
        <v>-99.073333333333323</v>
      </c>
    </row>
    <row r="73" spans="1:52" x14ac:dyDescent="0.3">
      <c r="A73" s="61"/>
      <c r="B73" s="61"/>
      <c r="C73" s="61"/>
      <c r="D73" s="347"/>
      <c r="E73" s="43"/>
      <c r="F73" s="44"/>
      <c r="G73" s="94"/>
      <c r="H73" s="61"/>
      <c r="I73" s="94"/>
      <c r="J73" s="45"/>
      <c r="K73" s="45"/>
      <c r="L73" s="161"/>
      <c r="M73" s="44"/>
      <c r="N73" s="271"/>
      <c r="O73" s="348"/>
      <c r="P73" s="349"/>
      <c r="Q73" s="350"/>
      <c r="R73" s="256"/>
      <c r="S73" s="350"/>
      <c r="T73" s="256"/>
      <c r="U73" s="256"/>
      <c r="V73" s="351"/>
      <c r="W73" s="8"/>
      <c r="X73" s="274"/>
      <c r="Y73" s="201"/>
      <c r="Z73" s="352"/>
      <c r="AA73" s="483"/>
      <c r="AB73" s="61"/>
      <c r="AC73" s="124"/>
      <c r="AD73" s="61"/>
      <c r="AE73" s="61"/>
      <c r="AF73" s="204"/>
      <c r="AG73" s="8"/>
      <c r="AH73" s="365"/>
      <c r="AI73" s="366"/>
      <c r="AJ73" s="367"/>
      <c r="AK73" s="367"/>
      <c r="AL73" s="356"/>
      <c r="AM73" s="367"/>
      <c r="AN73" s="368"/>
      <c r="AO73" s="368"/>
      <c r="AP73" s="369"/>
      <c r="AQ73" s="405"/>
      <c r="AR73" s="370"/>
      <c r="AS73" s="371"/>
      <c r="AT73" s="372"/>
      <c r="AU73" s="372"/>
      <c r="AV73" s="372"/>
      <c r="AW73" s="372"/>
      <c r="AX73" s="356" t="s">
        <v>137</v>
      </c>
      <c r="AY73" s="356"/>
      <c r="AZ73" s="373"/>
    </row>
    <row r="74" spans="1:52" x14ac:dyDescent="0.3">
      <c r="A74" s="346" t="s">
        <v>145</v>
      </c>
      <c r="B74" s="61"/>
      <c r="C74" s="61"/>
      <c r="D74" s="353"/>
      <c r="E74" s="354"/>
      <c r="F74" s="355"/>
      <c r="G74" s="355"/>
      <c r="H74" s="356"/>
      <c r="I74" s="355"/>
      <c r="J74" s="357"/>
      <c r="K74" s="357"/>
      <c r="L74" s="358"/>
      <c r="M74" s="355"/>
      <c r="N74" s="359"/>
      <c r="O74" s="360"/>
      <c r="P74" s="361"/>
      <c r="Q74" s="361"/>
      <c r="R74" s="362"/>
      <c r="S74" s="361"/>
      <c r="T74" s="362"/>
      <c r="U74" s="362"/>
      <c r="V74" s="363"/>
      <c r="W74" s="8"/>
      <c r="X74" s="274"/>
      <c r="Y74" s="201"/>
      <c r="Z74" s="352"/>
      <c r="AA74" s="483"/>
      <c r="AB74" s="61"/>
      <c r="AC74" s="124"/>
      <c r="AD74" s="61" t="s">
        <v>137</v>
      </c>
      <c r="AE74" s="61"/>
      <c r="AF74" s="204"/>
      <c r="AG74" s="8"/>
      <c r="AH74" s="365"/>
      <c r="AI74" s="366"/>
      <c r="AJ74" s="367"/>
      <c r="AK74" s="367"/>
      <c r="AL74" s="356"/>
      <c r="AM74" s="367"/>
      <c r="AN74" s="368"/>
      <c r="AO74" s="368"/>
      <c r="AP74" s="369"/>
      <c r="AQ74" s="405"/>
      <c r="AR74" s="370"/>
      <c r="AS74" s="371"/>
      <c r="AT74" s="372"/>
      <c r="AU74" s="372"/>
      <c r="AV74" s="372"/>
      <c r="AW74" s="372"/>
      <c r="AX74" s="356"/>
      <c r="AY74" s="356"/>
      <c r="AZ74" s="373"/>
    </row>
    <row r="75" spans="1:52" x14ac:dyDescent="0.3">
      <c r="A75" s="89" t="s">
        <v>146</v>
      </c>
      <c r="B75" s="61"/>
      <c r="C75" s="61"/>
      <c r="D75" s="353"/>
      <c r="E75" s="354"/>
      <c r="F75" s="355"/>
      <c r="G75" s="355"/>
      <c r="H75" s="356"/>
      <c r="I75" s="355"/>
      <c r="J75" s="357"/>
      <c r="K75" s="357"/>
      <c r="L75" s="358"/>
      <c r="M75" s="355"/>
      <c r="N75" s="359"/>
      <c r="O75" s="360"/>
      <c r="P75" s="361"/>
      <c r="Q75" s="361"/>
      <c r="R75" s="362"/>
      <c r="S75" s="361"/>
      <c r="T75" s="362"/>
      <c r="U75" s="362"/>
      <c r="V75" s="363"/>
      <c r="W75" s="8"/>
      <c r="X75" s="274">
        <v>7051</v>
      </c>
      <c r="Y75" s="200">
        <f t="shared" ref="Y75:Y77" si="74">Z75-AC75</f>
        <v>-2500</v>
      </c>
      <c r="Z75" s="364">
        <v>3000</v>
      </c>
      <c r="AA75" s="639">
        <v>0</v>
      </c>
      <c r="AB75" s="61"/>
      <c r="AC75" s="124">
        <v>5500</v>
      </c>
      <c r="AD75" s="151">
        <f>AC75/12*Summary!$G$31</f>
        <v>5041.6666666666661</v>
      </c>
      <c r="AE75" s="176">
        <v>2747.1</v>
      </c>
      <c r="AF75" s="153">
        <f t="shared" ref="AF75:AF77" si="75">AD75-AE75</f>
        <v>2294.5666666666662</v>
      </c>
      <c r="AG75" s="8"/>
      <c r="AH75" s="365"/>
      <c r="AI75" s="366"/>
      <c r="AJ75" s="367"/>
      <c r="AK75" s="367"/>
      <c r="AL75" s="356"/>
      <c r="AM75" s="367"/>
      <c r="AN75" s="368"/>
      <c r="AO75" s="368"/>
      <c r="AP75" s="369"/>
      <c r="AQ75" s="405"/>
      <c r="AR75" s="370"/>
      <c r="AS75" s="371"/>
      <c r="AT75" s="372"/>
      <c r="AU75" s="372"/>
      <c r="AV75" s="372"/>
      <c r="AW75" s="372"/>
      <c r="AX75" s="356"/>
      <c r="AY75" s="356"/>
      <c r="AZ75" s="373"/>
    </row>
    <row r="76" spans="1:52" x14ac:dyDescent="0.3">
      <c r="A76" s="89" t="s">
        <v>147</v>
      </c>
      <c r="B76" s="61"/>
      <c r="C76" s="61"/>
      <c r="D76" s="353"/>
      <c r="E76" s="354"/>
      <c r="F76" s="355"/>
      <c r="G76" s="355"/>
      <c r="H76" s="356"/>
      <c r="I76" s="355"/>
      <c r="J76" s="357"/>
      <c r="K76" s="357"/>
      <c r="L76" s="358"/>
      <c r="M76" s="355"/>
      <c r="N76" s="359"/>
      <c r="O76" s="360"/>
      <c r="P76" s="361"/>
      <c r="Q76" s="361"/>
      <c r="R76" s="362"/>
      <c r="S76" s="361"/>
      <c r="T76" s="362"/>
      <c r="U76" s="362"/>
      <c r="V76" s="363"/>
      <c r="W76" s="8"/>
      <c r="X76" s="274">
        <v>7053</v>
      </c>
      <c r="Y76" s="200">
        <f t="shared" si="74"/>
        <v>95</v>
      </c>
      <c r="Z76" s="364">
        <v>768</v>
      </c>
      <c r="AA76" s="639">
        <f t="shared" ref="AA76:AA77" si="76">+Y76/AC76</f>
        <v>0.14115898959881129</v>
      </c>
      <c r="AB76" s="61"/>
      <c r="AC76" s="124">
        <v>673</v>
      </c>
      <c r="AD76" s="151">
        <f>AC76/12*Summary!$G$31</f>
        <v>616.91666666666674</v>
      </c>
      <c r="AE76" s="176">
        <v>673.08</v>
      </c>
      <c r="AF76" s="153">
        <f t="shared" si="75"/>
        <v>-56.163333333333298</v>
      </c>
      <c r="AG76" s="8"/>
      <c r="AH76" s="365"/>
      <c r="AI76" s="366"/>
      <c r="AJ76" s="367"/>
      <c r="AK76" s="367"/>
      <c r="AL76" s="356"/>
      <c r="AM76" s="367"/>
      <c r="AN76" s="368"/>
      <c r="AO76" s="368"/>
      <c r="AP76" s="369"/>
      <c r="AQ76" s="405"/>
      <c r="AR76" s="370"/>
      <c r="AS76" s="371"/>
      <c r="AT76" s="372"/>
      <c r="AU76" s="372"/>
      <c r="AV76" s="372"/>
      <c r="AW76" s="372"/>
      <c r="AX76" s="356"/>
      <c r="AY76" s="356"/>
      <c r="AZ76" s="373"/>
    </row>
    <row r="77" spans="1:52" x14ac:dyDescent="0.3">
      <c r="A77" s="89" t="s">
        <v>148</v>
      </c>
      <c r="B77" s="61"/>
      <c r="C77" s="61"/>
      <c r="D77" s="353"/>
      <c r="E77" s="354"/>
      <c r="F77" s="355"/>
      <c r="G77" s="355"/>
      <c r="H77" s="356"/>
      <c r="I77" s="355"/>
      <c r="J77" s="357"/>
      <c r="K77" s="357"/>
      <c r="L77" s="358"/>
      <c r="M77" s="355"/>
      <c r="N77" s="359"/>
      <c r="O77" s="360"/>
      <c r="P77" s="361"/>
      <c r="Q77" s="361"/>
      <c r="R77" s="362"/>
      <c r="S77" s="361"/>
      <c r="T77" s="362"/>
      <c r="U77" s="362"/>
      <c r="V77" s="363"/>
      <c r="W77" s="8"/>
      <c r="X77" s="274">
        <v>7052</v>
      </c>
      <c r="Y77" s="200">
        <f t="shared" si="74"/>
        <v>0</v>
      </c>
      <c r="Z77" s="364">
        <v>460</v>
      </c>
      <c r="AA77" s="639">
        <f t="shared" si="76"/>
        <v>0</v>
      </c>
      <c r="AB77" s="61"/>
      <c r="AC77" s="124">
        <v>460</v>
      </c>
      <c r="AD77" s="151">
        <f>AC77/12*Summary!$G$31</f>
        <v>421.66666666666669</v>
      </c>
      <c r="AE77" s="176">
        <v>452.36</v>
      </c>
      <c r="AF77" s="153">
        <f t="shared" si="75"/>
        <v>-30.693333333333328</v>
      </c>
      <c r="AG77" s="8"/>
      <c r="AH77" s="365"/>
      <c r="AI77" s="366"/>
      <c r="AJ77" s="367"/>
      <c r="AK77" s="367"/>
      <c r="AL77" s="356"/>
      <c r="AM77" s="367"/>
      <c r="AN77" s="368"/>
      <c r="AO77" s="368"/>
      <c r="AP77" s="369"/>
      <c r="AQ77" s="405"/>
      <c r="AR77" s="370"/>
      <c r="AS77" s="371"/>
      <c r="AT77" s="372"/>
      <c r="AU77" s="372"/>
      <c r="AV77" s="372"/>
      <c r="AW77" s="372"/>
      <c r="AX77" s="356"/>
      <c r="AY77" s="356"/>
      <c r="AZ77" s="373"/>
    </row>
    <row r="78" spans="1:52" x14ac:dyDescent="0.3">
      <c r="A78" s="89"/>
      <c r="B78" s="61"/>
      <c r="C78" s="61"/>
      <c r="D78" s="353"/>
      <c r="E78" s="354"/>
      <c r="F78" s="355"/>
      <c r="G78" s="355"/>
      <c r="H78" s="356"/>
      <c r="I78" s="355"/>
      <c r="J78" s="357"/>
      <c r="K78" s="357"/>
      <c r="L78" s="358"/>
      <c r="M78" s="355"/>
      <c r="N78" s="359"/>
      <c r="O78" s="360"/>
      <c r="P78" s="361"/>
      <c r="Q78" s="361"/>
      <c r="R78" s="362"/>
      <c r="S78" s="361"/>
      <c r="T78" s="362"/>
      <c r="U78" s="362"/>
      <c r="V78" s="363"/>
      <c r="W78" s="8"/>
      <c r="X78" s="274"/>
      <c r="Y78" s="201"/>
      <c r="Z78" s="352"/>
      <c r="AA78" s="150"/>
      <c r="AB78" s="61"/>
      <c r="AC78" s="124"/>
      <c r="AD78" s="61"/>
      <c r="AE78" s="61"/>
      <c r="AF78" s="204"/>
      <c r="AG78" s="8"/>
      <c r="AH78" s="365"/>
      <c r="AI78" s="366"/>
      <c r="AJ78" s="367"/>
      <c r="AK78" s="367"/>
      <c r="AL78" s="356"/>
      <c r="AM78" s="367"/>
      <c r="AN78" s="368"/>
      <c r="AO78" s="368"/>
      <c r="AP78" s="369"/>
      <c r="AQ78" s="405"/>
      <c r="AR78" s="370"/>
      <c r="AS78" s="371"/>
      <c r="AT78" s="372"/>
      <c r="AU78" s="372"/>
      <c r="AV78" s="372"/>
      <c r="AW78" s="372"/>
      <c r="AX78" s="356"/>
      <c r="AY78" s="356"/>
      <c r="AZ78" s="373"/>
    </row>
    <row r="79" spans="1:52" ht="15" thickBot="1" x14ac:dyDescent="0.35">
      <c r="A79" s="58" t="s">
        <v>149</v>
      </c>
      <c r="B79" s="61"/>
      <c r="C79" s="61"/>
      <c r="D79" s="353"/>
      <c r="E79" s="354"/>
      <c r="F79" s="355"/>
      <c r="G79" s="355"/>
      <c r="H79" s="356"/>
      <c r="I79" s="355"/>
      <c r="J79" s="357"/>
      <c r="K79" s="357"/>
      <c r="L79" s="358"/>
      <c r="M79" s="355"/>
      <c r="N79" s="359"/>
      <c r="O79" s="360"/>
      <c r="P79" s="361"/>
      <c r="Q79" s="361"/>
      <c r="R79" s="362"/>
      <c r="S79" s="361"/>
      <c r="T79" s="362"/>
      <c r="U79" s="362"/>
      <c r="V79" s="363"/>
      <c r="W79" s="8"/>
      <c r="X79" s="342"/>
      <c r="Y79" s="59">
        <f>SUM(Y75:Y78)</f>
        <v>-2405</v>
      </c>
      <c r="Z79" s="60">
        <f>SUM(Z75:Z78)</f>
        <v>4228</v>
      </c>
      <c r="AA79" s="641">
        <f>+Y79/AC79</f>
        <v>-0.36258103422282528</v>
      </c>
      <c r="AB79" s="473"/>
      <c r="AC79" s="106">
        <f>SUM(AC75:AC78)</f>
        <v>6633</v>
      </c>
      <c r="AD79" s="58">
        <f>SUM(AD75:AD78)</f>
        <v>6080.25</v>
      </c>
      <c r="AE79" s="58">
        <f>SUM(AE75:AE78)</f>
        <v>3872.54</v>
      </c>
      <c r="AF79" s="179">
        <f>SUM(AF75:AF78)</f>
        <v>2207.7099999999996</v>
      </c>
      <c r="AG79" s="8"/>
      <c r="AH79" s="365"/>
      <c r="AI79" s="366"/>
      <c r="AJ79" s="367"/>
      <c r="AK79" s="367"/>
      <c r="AL79" s="356"/>
      <c r="AM79" s="367"/>
      <c r="AN79" s="368"/>
      <c r="AO79" s="368"/>
      <c r="AP79" s="369"/>
      <c r="AQ79" s="405"/>
      <c r="AR79" s="370"/>
      <c r="AS79" s="371"/>
      <c r="AT79" s="372"/>
      <c r="AU79" s="372"/>
      <c r="AV79" s="372"/>
      <c r="AW79" s="372"/>
      <c r="AX79" s="356"/>
      <c r="AY79" s="356"/>
      <c r="AZ79" s="373"/>
    </row>
    <row r="80" spans="1:52" x14ac:dyDescent="0.3">
      <c r="A80" s="4"/>
      <c r="B80" s="4"/>
      <c r="C80" s="4"/>
      <c r="D80" s="213"/>
      <c r="E80" s="43"/>
      <c r="F80" s="44"/>
      <c r="G80" s="94"/>
      <c r="H80" s="162"/>
      <c r="I80" s="94"/>
      <c r="J80" s="45"/>
      <c r="K80" s="45"/>
      <c r="L80" s="161"/>
      <c r="M80" s="44"/>
      <c r="N80" s="271"/>
      <c r="O80" s="257"/>
      <c r="P80" s="253"/>
      <c r="Q80" s="242"/>
      <c r="R80" s="259"/>
      <c r="S80" s="242"/>
      <c r="T80" s="254"/>
      <c r="U80" s="254"/>
      <c r="V80" s="255"/>
      <c r="W80" s="8"/>
      <c r="X80" s="274"/>
      <c r="Y80" s="51"/>
      <c r="Z80" s="177"/>
      <c r="AA80" s="483"/>
      <c r="AB80" s="181"/>
      <c r="AC80" s="172"/>
      <c r="AD80" s="52"/>
      <c r="AE80" s="52"/>
      <c r="AF80" s="178"/>
      <c r="AG80" s="8"/>
      <c r="AH80" s="365"/>
      <c r="AI80" s="374"/>
      <c r="AJ80" s="375"/>
      <c r="AK80" s="375"/>
      <c r="AL80" s="376"/>
      <c r="AM80" s="375"/>
      <c r="AN80" s="377"/>
      <c r="AO80" s="377"/>
      <c r="AP80" s="378"/>
      <c r="AQ80" s="405"/>
      <c r="AR80" s="184"/>
      <c r="AS80" s="51"/>
      <c r="AT80" s="177"/>
      <c r="AU80" s="469"/>
      <c r="AV80" s="172"/>
      <c r="AW80" s="172"/>
      <c r="AX80" s="52"/>
      <c r="AY80" s="52"/>
      <c r="AZ80" s="178"/>
    </row>
    <row r="81" spans="1:52" ht="15.6" x14ac:dyDescent="0.3">
      <c r="A81" s="15" t="s">
        <v>72</v>
      </c>
      <c r="B81" s="8"/>
      <c r="C81" s="8"/>
      <c r="D81" s="208"/>
      <c r="E81" s="200">
        <f>F81-I81</f>
        <v>0</v>
      </c>
      <c r="F81" s="6">
        <v>450</v>
      </c>
      <c r="G81" s="639">
        <f t="shared" ref="G81:G85" si="77">+E81/I81</f>
        <v>0</v>
      </c>
      <c r="H81" s="6"/>
      <c r="I81" s="6">
        <v>450</v>
      </c>
      <c r="J81" s="6">
        <v>450</v>
      </c>
      <c r="K81" s="164">
        <f>J81</f>
        <v>450</v>
      </c>
      <c r="L81" s="249">
        <f t="shared" ref="L81" si="78">J81-K81</f>
        <v>0</v>
      </c>
      <c r="M81" s="44"/>
      <c r="N81" s="271"/>
      <c r="O81" s="244">
        <f>P81-S81</f>
        <v>0</v>
      </c>
      <c r="P81" s="260">
        <v>670</v>
      </c>
      <c r="Q81" s="639">
        <f t="shared" ref="Q81:Q85" si="79">+O81/S81</f>
        <v>0</v>
      </c>
      <c r="R81" s="246"/>
      <c r="S81" s="261">
        <v>670</v>
      </c>
      <c r="T81" s="247">
        <f>S81/12*Summary!$G$31</f>
        <v>614.16666666666674</v>
      </c>
      <c r="U81" s="262">
        <f>T81</f>
        <v>614.16666666666674</v>
      </c>
      <c r="V81" s="249">
        <f t="shared" ref="V81" si="80">T81-U81</f>
        <v>0</v>
      </c>
      <c r="W81" s="8"/>
      <c r="X81" s="274"/>
      <c r="Y81" s="200">
        <f>Z81-AC81</f>
        <v>0</v>
      </c>
      <c r="Z81" s="149">
        <v>1800</v>
      </c>
      <c r="AA81" s="639">
        <f t="shared" ref="AA81:AA85" si="81">+Y81/AC81</f>
        <v>0</v>
      </c>
      <c r="AB81" s="175"/>
      <c r="AC81" s="157">
        <v>1800</v>
      </c>
      <c r="AD81" s="151">
        <f>AC81/12*Summary!$G$31</f>
        <v>1650</v>
      </c>
      <c r="AE81" s="323">
        <f>AD81</f>
        <v>1650</v>
      </c>
      <c r="AF81" s="153">
        <f t="shared" ref="AF81" si="82">AD81-AE81</f>
        <v>0</v>
      </c>
      <c r="AG81" s="8"/>
      <c r="AH81" s="379"/>
      <c r="AI81" s="380"/>
      <c r="AJ81" s="381"/>
      <c r="AK81" s="381"/>
      <c r="AL81" s="382"/>
      <c r="AM81" s="383"/>
      <c r="AN81" s="384"/>
      <c r="AO81" s="385"/>
      <c r="AP81" s="324"/>
      <c r="AQ81" s="8"/>
      <c r="AR81" s="184"/>
      <c r="AS81" s="200">
        <f>AT81-AW81</f>
        <v>0</v>
      </c>
      <c r="AT81" s="149">
        <f>AW81</f>
        <v>440</v>
      </c>
      <c r="AU81" s="639">
        <v>0</v>
      </c>
      <c r="AV81" s="150"/>
      <c r="AW81" s="157">
        <v>440</v>
      </c>
      <c r="AX81" s="151">
        <f>AW81/12*Summary!$G$31</f>
        <v>403.33333333333331</v>
      </c>
      <c r="AY81" s="164">
        <f>AX81</f>
        <v>403.33333333333331</v>
      </c>
      <c r="AZ81" s="153">
        <f>AX81-AY81</f>
        <v>0</v>
      </c>
    </row>
    <row r="82" spans="1:52" x14ac:dyDescent="0.3">
      <c r="A82" s="8"/>
      <c r="B82" s="8"/>
      <c r="C82" s="8"/>
      <c r="D82" s="208"/>
      <c r="E82" s="9"/>
      <c r="F82" s="9"/>
      <c r="G82" s="150"/>
      <c r="H82" s="9"/>
      <c r="I82" s="9"/>
      <c r="J82" s="9"/>
      <c r="K82" s="9"/>
      <c r="L82" s="185"/>
      <c r="M82" s="78"/>
      <c r="N82" s="269"/>
      <c r="O82" s="257"/>
      <c r="P82" s="253"/>
      <c r="Q82" s="150"/>
      <c r="R82" s="246"/>
      <c r="S82" s="242"/>
      <c r="T82" s="247"/>
      <c r="U82" s="247"/>
      <c r="V82" s="249"/>
      <c r="W82" s="8"/>
      <c r="X82" s="274"/>
      <c r="Y82" s="51"/>
      <c r="Z82" s="177"/>
      <c r="AA82" s="150"/>
      <c r="AB82" s="175"/>
      <c r="AC82" s="172"/>
      <c r="AD82" s="151"/>
      <c r="AE82" s="151"/>
      <c r="AF82" s="153"/>
      <c r="AG82" s="8"/>
      <c r="AH82" s="365"/>
      <c r="AI82" s="380"/>
      <c r="AJ82" s="375"/>
      <c r="AK82" s="375"/>
      <c r="AL82" s="382"/>
      <c r="AM82" s="375"/>
      <c r="AN82" s="384"/>
      <c r="AO82" s="385"/>
      <c r="AP82" s="386"/>
      <c r="AQ82" s="8"/>
      <c r="AR82" s="184"/>
      <c r="AS82" s="51"/>
      <c r="AT82" s="177"/>
      <c r="AU82" s="242"/>
      <c r="AV82" s="172"/>
      <c r="AW82" s="172"/>
      <c r="AX82" s="52"/>
      <c r="AY82" s="52"/>
      <c r="AZ82" s="178"/>
    </row>
    <row r="83" spans="1:52" ht="15" thickBot="1" x14ac:dyDescent="0.35">
      <c r="A83" s="58" t="s">
        <v>102</v>
      </c>
      <c r="B83" s="61"/>
      <c r="C83" s="61"/>
      <c r="D83" s="333"/>
      <c r="E83" s="33">
        <f>SUM(E62+E72+E81)</f>
        <v>801.8</v>
      </c>
      <c r="F83" s="33">
        <f>SUM(F62+F72+F81)</f>
        <v>3223.8</v>
      </c>
      <c r="G83" s="641">
        <f>+E83/I83</f>
        <v>0.33104872006606106</v>
      </c>
      <c r="H83" s="58"/>
      <c r="I83" s="33">
        <v>2422</v>
      </c>
      <c r="J83" s="33">
        <f>SUM(J62+J72+J81)</f>
        <v>2257.666666666667</v>
      </c>
      <c r="K83" s="33">
        <f>SUM(K62+K72+K81)</f>
        <v>3768.8199999999997</v>
      </c>
      <c r="L83" s="33">
        <f>SUM(L62+L72+L81)</f>
        <v>-1511.1533333333332</v>
      </c>
      <c r="M83" s="79"/>
      <c r="N83" s="341"/>
      <c r="O83" s="328">
        <f>O62+O72+O81</f>
        <v>758.8</v>
      </c>
      <c r="P83" s="329">
        <f>P62+P72+P81</f>
        <v>3437.8</v>
      </c>
      <c r="Q83" s="641">
        <f>+O83/S83</f>
        <v>0.28324001493094436</v>
      </c>
      <c r="R83" s="331"/>
      <c r="S83" s="330">
        <f>S62+S72+S81</f>
        <v>2679</v>
      </c>
      <c r="T83" s="331">
        <f>T62+T72+T81</f>
        <v>2726.583333333333</v>
      </c>
      <c r="U83" s="331">
        <f>U62+U72+U81</f>
        <v>2646.5466666666671</v>
      </c>
      <c r="V83" s="332">
        <f>V62+V72+V81</f>
        <v>80.036666666666576</v>
      </c>
      <c r="X83" s="342"/>
      <c r="Y83" s="59">
        <f>Y62+Y72+Y81</f>
        <v>2440.8000000000002</v>
      </c>
      <c r="Z83" s="60">
        <f>Z62+Z72+Z79+Z81</f>
        <v>14360.8</v>
      </c>
      <c r="AA83" s="641">
        <f>+Y83/AC83</f>
        <v>0.17038743455497382</v>
      </c>
      <c r="AB83" s="473"/>
      <c r="AC83" s="60">
        <f>AC62+AC72+AC79+AC81</f>
        <v>14325</v>
      </c>
      <c r="AD83" s="58">
        <f>AD62+AD72+AD79+AD81</f>
        <v>13077.25</v>
      </c>
      <c r="AE83" s="58">
        <f>AE62+AE72+AE79+AE81</f>
        <v>13549.55</v>
      </c>
      <c r="AF83" s="179">
        <f>AF62+AF72+AF79+AF81</f>
        <v>-472.30000000000018</v>
      </c>
      <c r="AH83" s="343"/>
      <c r="AI83" s="36">
        <f>AI62+AI72+AI81</f>
        <v>612.31999999999994</v>
      </c>
      <c r="AJ83" s="37">
        <f>AJ62+AJ72</f>
        <v>2085.3199999999997</v>
      </c>
      <c r="AK83" s="641">
        <f>+AI83/AM83</f>
        <v>0.41569585879158177</v>
      </c>
      <c r="AL83" s="473"/>
      <c r="AM83" s="109">
        <v>1473</v>
      </c>
      <c r="AN83" s="38">
        <f>AN62+AN72+AN81</f>
        <v>1350.25</v>
      </c>
      <c r="AO83" s="38">
        <f>AO62+AO72+AO81</f>
        <v>1799.92</v>
      </c>
      <c r="AP83" s="179">
        <f>AP62+AP72+AP81</f>
        <v>-449.67000000000007</v>
      </c>
      <c r="AR83" s="345"/>
      <c r="AS83" s="59">
        <f>AS62+AS72+AS81</f>
        <v>464.3</v>
      </c>
      <c r="AT83" s="60">
        <f>AT62+AT72+AT81</f>
        <v>2575.3000000000002</v>
      </c>
      <c r="AU83" s="641">
        <f>+AS83/AW83</f>
        <v>0.21994315490288963</v>
      </c>
      <c r="AV83" s="124"/>
      <c r="AW83" s="106">
        <v>2111</v>
      </c>
      <c r="AX83" s="58">
        <f>AX62+AX72+AX81</f>
        <v>1935.0833333333335</v>
      </c>
      <c r="AY83" s="58">
        <f>AY62+AY72+AY81</f>
        <v>2179.3533333333335</v>
      </c>
      <c r="AZ83" s="179">
        <f>AZ62+AZ72+AZ81</f>
        <v>-244.27</v>
      </c>
    </row>
    <row r="84" spans="1:52" x14ac:dyDescent="0.3">
      <c r="A84" s="4"/>
      <c r="B84" s="4"/>
      <c r="C84" s="4"/>
      <c r="D84" s="213"/>
      <c r="E84" s="43"/>
      <c r="F84" s="159"/>
      <c r="G84" s="160"/>
      <c r="H84" s="162"/>
      <c r="I84" s="145"/>
      <c r="J84" s="45"/>
      <c r="K84" s="45"/>
      <c r="L84" s="161"/>
      <c r="M84" s="79"/>
      <c r="N84" s="270"/>
      <c r="O84" s="257"/>
      <c r="P84" s="253"/>
      <c r="Q84" s="160"/>
      <c r="R84" s="259"/>
      <c r="S84" s="242"/>
      <c r="T84" s="254"/>
      <c r="U84" s="254"/>
      <c r="V84" s="255"/>
      <c r="X84" s="274"/>
      <c r="Y84" s="51"/>
      <c r="Z84" s="177"/>
      <c r="AA84" s="160"/>
      <c r="AB84" s="181"/>
      <c r="AC84" s="172"/>
      <c r="AD84" s="52"/>
      <c r="AE84" s="52"/>
      <c r="AF84" s="178"/>
      <c r="AH84" s="169"/>
      <c r="AI84" s="200"/>
      <c r="AJ84" s="177"/>
      <c r="AK84" s="160"/>
      <c r="AL84" s="181"/>
      <c r="AM84" s="172"/>
      <c r="AN84" s="117"/>
      <c r="AO84" s="117"/>
      <c r="AP84" s="298"/>
      <c r="AR84" s="135"/>
      <c r="AS84" s="51"/>
      <c r="AT84" s="177"/>
      <c r="AU84" s="469"/>
      <c r="AV84" s="172"/>
      <c r="AW84" s="172"/>
      <c r="AX84" s="52"/>
      <c r="AY84" s="52"/>
      <c r="AZ84" s="178"/>
    </row>
    <row r="85" spans="1:52" ht="15.6" x14ac:dyDescent="0.3">
      <c r="A85" s="5" t="s">
        <v>78</v>
      </c>
      <c r="B85" s="5"/>
      <c r="C85" s="5"/>
      <c r="D85" s="213"/>
      <c r="E85" s="200">
        <f>F85-I85</f>
        <v>1250</v>
      </c>
      <c r="F85" s="149">
        <v>5000</v>
      </c>
      <c r="G85" s="639">
        <f t="shared" si="77"/>
        <v>0.33333333333333331</v>
      </c>
      <c r="H85" s="163"/>
      <c r="I85" s="157">
        <v>3750</v>
      </c>
      <c r="J85" s="151">
        <f>I85/12*Summary!$G$31</f>
        <v>3437.5</v>
      </c>
      <c r="K85" s="323">
        <f>J85</f>
        <v>3437.5</v>
      </c>
      <c r="L85" s="153">
        <f>J85-K85</f>
        <v>0</v>
      </c>
      <c r="M85" s="44"/>
      <c r="N85" s="271"/>
      <c r="O85" s="244">
        <f>P85-S85</f>
        <v>0</v>
      </c>
      <c r="P85" s="260">
        <v>4000</v>
      </c>
      <c r="Q85" s="639">
        <f t="shared" si="79"/>
        <v>0</v>
      </c>
      <c r="R85" s="259"/>
      <c r="S85" s="261">
        <v>4000</v>
      </c>
      <c r="T85" s="247">
        <f>S85/12*Summary!$G$31</f>
        <v>3666.6666666666665</v>
      </c>
      <c r="U85" s="319">
        <f>T85</f>
        <v>3666.6666666666665</v>
      </c>
      <c r="V85" s="249">
        <f t="shared" ref="V85" si="83">T85-U85</f>
        <v>0</v>
      </c>
      <c r="X85" s="274"/>
      <c r="Y85" s="200">
        <f>Z85-AC85</f>
        <v>0</v>
      </c>
      <c r="Z85" s="149">
        <v>9000</v>
      </c>
      <c r="AA85" s="639">
        <f t="shared" si="81"/>
        <v>0</v>
      </c>
      <c r="AB85" s="181"/>
      <c r="AC85" s="157">
        <v>9000</v>
      </c>
      <c r="AD85" s="151">
        <f>AC85/12*Summary!$G$31</f>
        <v>8250</v>
      </c>
      <c r="AE85" s="323">
        <f>AD85</f>
        <v>8250</v>
      </c>
      <c r="AF85" s="153">
        <f t="shared" ref="AF85" si="84">AD85-AE85</f>
        <v>0</v>
      </c>
      <c r="AH85" s="300"/>
      <c r="AI85" s="200">
        <f>AJ85-AM85</f>
        <v>0</v>
      </c>
      <c r="AJ85" s="149">
        <v>1200</v>
      </c>
      <c r="AK85" s="639">
        <f t="shared" ref="AK85" si="85">+AI85/AM85</f>
        <v>0</v>
      </c>
      <c r="AL85" s="181"/>
      <c r="AM85" s="157">
        <v>1200</v>
      </c>
      <c r="AN85" s="151">
        <f>AM85/12*Summary!$G$31</f>
        <v>1100</v>
      </c>
      <c r="AO85" s="164">
        <f>AN85</f>
        <v>1100</v>
      </c>
      <c r="AP85" s="153">
        <f t="shared" ref="AP85" si="86">AN85-AO85</f>
        <v>0</v>
      </c>
      <c r="AR85" s="135"/>
      <c r="AS85" s="200">
        <f>AT85-AW85</f>
        <v>0</v>
      </c>
      <c r="AT85" s="149">
        <v>1500</v>
      </c>
      <c r="AU85" s="639">
        <f t="shared" ref="AU85" si="87">+AS85/AW85</f>
        <v>0</v>
      </c>
      <c r="AV85" s="150"/>
      <c r="AW85" s="157">
        <v>1500</v>
      </c>
      <c r="AX85" s="151">
        <f>AW85/12*Summary!$G$31</f>
        <v>1375</v>
      </c>
      <c r="AY85" s="164">
        <f>AX85</f>
        <v>1375</v>
      </c>
      <c r="AZ85" s="153">
        <f>AX85-AY85</f>
        <v>0</v>
      </c>
    </row>
    <row r="86" spans="1:52" x14ac:dyDescent="0.3">
      <c r="A86" s="5"/>
      <c r="B86" s="5"/>
      <c r="C86" s="5"/>
      <c r="D86" s="213"/>
      <c r="E86" s="200"/>
      <c r="F86" s="156"/>
      <c r="G86" s="150"/>
      <c r="H86" s="163"/>
      <c r="I86" s="157"/>
      <c r="J86" s="151"/>
      <c r="K86" s="151"/>
      <c r="L86" s="153"/>
      <c r="N86" s="272"/>
      <c r="O86" s="257"/>
      <c r="P86" s="253"/>
      <c r="Q86" s="150"/>
      <c r="R86" s="259"/>
      <c r="S86" s="242"/>
      <c r="T86" s="247"/>
      <c r="U86" s="247"/>
      <c r="V86" s="249"/>
      <c r="X86" s="274"/>
      <c r="Y86" s="51"/>
      <c r="Z86" s="177"/>
      <c r="AA86" s="150"/>
      <c r="AB86" s="181"/>
      <c r="AC86" s="172"/>
      <c r="AD86" s="151"/>
      <c r="AE86" s="151"/>
      <c r="AF86" s="153"/>
      <c r="AH86" s="169"/>
      <c r="AI86" s="200"/>
      <c r="AJ86" s="177"/>
      <c r="AK86" s="150"/>
      <c r="AL86" s="181"/>
      <c r="AM86" s="172"/>
      <c r="AN86" s="151"/>
      <c r="AO86" s="117"/>
      <c r="AP86" s="298"/>
      <c r="AR86" s="135"/>
      <c r="AS86" s="201"/>
      <c r="AT86" s="303"/>
      <c r="AU86" s="150"/>
      <c r="AV86" s="304"/>
      <c r="AW86" s="304"/>
      <c r="AX86" s="61"/>
      <c r="AY86" s="61"/>
      <c r="AZ86" s="204"/>
    </row>
    <row r="87" spans="1:52" ht="15" thickBot="1" x14ac:dyDescent="0.35">
      <c r="A87" s="58" t="s">
        <v>0</v>
      </c>
      <c r="B87" s="61"/>
      <c r="C87" s="61"/>
      <c r="D87" s="333"/>
      <c r="E87" s="33">
        <f>SUM(E83:E85)</f>
        <v>2051.8000000000002</v>
      </c>
      <c r="F87" s="34">
        <f>SUM(F83:F85)</f>
        <v>8223.7999999999993</v>
      </c>
      <c r="G87" s="641">
        <f>+E87/I87</f>
        <v>0.33243681140635128</v>
      </c>
      <c r="H87" s="58"/>
      <c r="I87" s="104">
        <f>SUM(I83:I85)</f>
        <v>6172</v>
      </c>
      <c r="J87" s="46">
        <f>SUM(J83:J85)</f>
        <v>5695.166666666667</v>
      </c>
      <c r="K87" s="46">
        <f>SUM(K83:K85)</f>
        <v>7206.32</v>
      </c>
      <c r="L87" s="166">
        <f>SUM(L83:L85)</f>
        <v>-1511.1533333333332</v>
      </c>
      <c r="M87"/>
      <c r="N87" s="335"/>
      <c r="O87" s="336">
        <f t="shared" ref="O87" si="88">SUM(O83:O86)</f>
        <v>758.8</v>
      </c>
      <c r="P87" s="337">
        <f t="shared" ref="P87" si="89">SUM(P83:P86)</f>
        <v>7437.8</v>
      </c>
      <c r="Q87" s="641">
        <f>+O87/S87</f>
        <v>0.11360982182961521</v>
      </c>
      <c r="R87" s="331"/>
      <c r="S87" s="338">
        <f t="shared" ref="S87:V87" si="90">SUM(S83:S86)</f>
        <v>6679</v>
      </c>
      <c r="T87" s="339">
        <f t="shared" si="90"/>
        <v>6393.25</v>
      </c>
      <c r="U87" s="339">
        <f t="shared" si="90"/>
        <v>6313.2133333333331</v>
      </c>
      <c r="V87" s="340">
        <f t="shared" si="90"/>
        <v>80.036666666666576</v>
      </c>
      <c r="X87" s="342"/>
      <c r="Y87" s="53">
        <f>SUM(Y83:Y86)</f>
        <v>2440.8000000000002</v>
      </c>
      <c r="Z87" s="54">
        <f>SUM(Z83:Z86)</f>
        <v>23360.799999999999</v>
      </c>
      <c r="AA87" s="641">
        <f>+Y87/AC87</f>
        <v>0.10464308681672027</v>
      </c>
      <c r="AB87" s="473"/>
      <c r="AC87" s="107">
        <f>SUM(AC83:AC86)</f>
        <v>23325</v>
      </c>
      <c r="AD87" s="55">
        <f>SUM(AD83:AD86)</f>
        <v>21327.25</v>
      </c>
      <c r="AE87" s="55">
        <f>SUM(AE83:AE86)</f>
        <v>21799.55</v>
      </c>
      <c r="AF87" s="183">
        <f>SUM(AF83:AF86)</f>
        <v>-472.30000000000018</v>
      </c>
      <c r="AH87" s="343"/>
      <c r="AI87" s="40">
        <f t="shared" ref="AI87" si="91">SUM(AI83:AI86)</f>
        <v>612.31999999999994</v>
      </c>
      <c r="AJ87" s="41">
        <f t="shared" ref="AJ87" si="92">SUM(AJ83:AJ86)</f>
        <v>3285.3199999999997</v>
      </c>
      <c r="AK87" s="641">
        <f>+AI87/AM87</f>
        <v>0.22907594463150016</v>
      </c>
      <c r="AL87" s="473"/>
      <c r="AM87" s="105">
        <f t="shared" ref="AM87:AP87" si="93">SUM(AM83:AM86)</f>
        <v>2673</v>
      </c>
      <c r="AN87" s="16">
        <f t="shared" si="93"/>
        <v>2450.25</v>
      </c>
      <c r="AO87" s="16">
        <f t="shared" si="93"/>
        <v>2899.92</v>
      </c>
      <c r="AP87" s="183">
        <f t="shared" si="93"/>
        <v>-449.67000000000007</v>
      </c>
      <c r="AR87" s="344"/>
      <c r="AS87" s="53">
        <f t="shared" ref="AS87:AT87" si="94">SUM(AS83:AS86)</f>
        <v>464.3</v>
      </c>
      <c r="AT87" s="54">
        <f t="shared" si="94"/>
        <v>4075.3</v>
      </c>
      <c r="AU87" s="641">
        <f>+AS87/AW87</f>
        <v>0.12857934090279702</v>
      </c>
      <c r="AV87" s="182"/>
      <c r="AW87" s="107">
        <f t="shared" ref="AW87:AZ87" si="95">SUM(AW83:AW86)</f>
        <v>3611</v>
      </c>
      <c r="AX87" s="55">
        <f t="shared" si="95"/>
        <v>3310.0833333333335</v>
      </c>
      <c r="AY87" s="55">
        <f t="shared" si="95"/>
        <v>3554.3533333333335</v>
      </c>
      <c r="AZ87" s="183">
        <f t="shared" si="95"/>
        <v>-244.27</v>
      </c>
    </row>
    <row r="88" spans="1:52" x14ac:dyDescent="0.3">
      <c r="A88" s="61"/>
      <c r="B88" s="61"/>
      <c r="C88" s="61"/>
      <c r="D88" s="215"/>
      <c r="E88" s="43"/>
      <c r="F88" s="44"/>
      <c r="G88" s="94"/>
      <c r="H88" s="61"/>
      <c r="I88" s="94"/>
      <c r="J88" s="205"/>
      <c r="K88" s="205"/>
      <c r="L88" s="205"/>
      <c r="M88"/>
      <c r="N88" s="305"/>
      <c r="O88" s="306"/>
      <c r="P88" s="307"/>
      <c r="Q88" s="308"/>
      <c r="R88" s="256"/>
      <c r="S88" s="308"/>
      <c r="T88" s="309"/>
      <c r="U88" s="309"/>
      <c r="V88" s="309"/>
      <c r="X88" s="114"/>
      <c r="Y88" s="202"/>
      <c r="Z88" s="85"/>
      <c r="AB88" s="61"/>
      <c r="AC88" s="125"/>
      <c r="AD88" s="203"/>
      <c r="AE88" s="203"/>
      <c r="AF88" s="203"/>
      <c r="AH88" s="117"/>
      <c r="AI88" s="310"/>
      <c r="AJ88" s="84"/>
      <c r="AK88" s="84"/>
      <c r="AL88" s="61"/>
      <c r="AM88" s="123"/>
      <c r="AN88" s="311"/>
      <c r="AO88" s="311"/>
      <c r="AP88" s="311"/>
      <c r="AR88" s="6"/>
      <c r="AS88" s="202"/>
      <c r="AT88" s="85"/>
      <c r="AU88" s="653"/>
      <c r="AV88" s="125"/>
      <c r="AW88" s="125"/>
      <c r="AX88" s="203"/>
      <c r="AY88" s="203"/>
      <c r="AZ88" s="203"/>
    </row>
    <row r="89" spans="1:52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B89"/>
      <c r="AC89"/>
      <c r="AD89"/>
      <c r="AE89"/>
      <c r="AF89"/>
      <c r="AG89"/>
      <c r="AH89"/>
      <c r="AI89"/>
      <c r="AJ89"/>
      <c r="AK89"/>
      <c r="AL89"/>
      <c r="AM89"/>
    </row>
    <row r="90" spans="1:52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52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52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52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52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52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52" ht="18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ht="23.25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ht="19.5" customHeigh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1:24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1:24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1:24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1:24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1: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1: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1: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1: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1: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</row>
  </sheetData>
  <mergeCells count="73">
    <mergeCell ref="Y3:AA3"/>
    <mergeCell ref="AA4:AA5"/>
    <mergeCell ref="AI3:AK3"/>
    <mergeCell ref="AK4:AK5"/>
    <mergeCell ref="O3:Q3"/>
    <mergeCell ref="AW3:AZ3"/>
    <mergeCell ref="AS4:AS5"/>
    <mergeCell ref="AT4:AT5"/>
    <mergeCell ref="AW4:AX4"/>
    <mergeCell ref="AJ4:AJ5"/>
    <mergeCell ref="AM3:AP3"/>
    <mergeCell ref="AS3:AU3"/>
    <mergeCell ref="AU4:AU5"/>
    <mergeCell ref="AI4:AI5"/>
    <mergeCell ref="AM4:AN4"/>
    <mergeCell ref="AC3:AF3"/>
    <mergeCell ref="Y4:Y5"/>
    <mergeCell ref="Z4:Z5"/>
    <mergeCell ref="AC4:AD4"/>
    <mergeCell ref="Y52:AA52"/>
    <mergeCell ref="AA53:AA54"/>
    <mergeCell ref="A2:C3"/>
    <mergeCell ref="E37:E38"/>
    <mergeCell ref="I36:M36"/>
    <mergeCell ref="S4:T4"/>
    <mergeCell ref="G4:G5"/>
    <mergeCell ref="Q4:Q5"/>
    <mergeCell ref="E4:E5"/>
    <mergeCell ref="F4:F5"/>
    <mergeCell ref="I4:J4"/>
    <mergeCell ref="O4:O5"/>
    <mergeCell ref="P4:P5"/>
    <mergeCell ref="S3:V3"/>
    <mergeCell ref="I3:L3"/>
    <mergeCell ref="E3:G3"/>
    <mergeCell ref="A51:C52"/>
    <mergeCell ref="I52:L52"/>
    <mergeCell ref="S52:V52"/>
    <mergeCell ref="E52:G52"/>
    <mergeCell ref="E53:E54"/>
    <mergeCell ref="O52:Q52"/>
    <mergeCell ref="AC52:AF52"/>
    <mergeCell ref="AM52:AP52"/>
    <mergeCell ref="AI52:AK52"/>
    <mergeCell ref="AK53:AK54"/>
    <mergeCell ref="AS52:AU52"/>
    <mergeCell ref="AU53:AU54"/>
    <mergeCell ref="AT53:AT54"/>
    <mergeCell ref="AJ53:AJ54"/>
    <mergeCell ref="AM53:AN53"/>
    <mergeCell ref="AS53:AS54"/>
    <mergeCell ref="AC53:AD53"/>
    <mergeCell ref="AI53:AI54"/>
    <mergeCell ref="E36:G36"/>
    <mergeCell ref="G37:G38"/>
    <mergeCell ref="O36:Q36"/>
    <mergeCell ref="O37:O38"/>
    <mergeCell ref="P37:P38"/>
    <mergeCell ref="Q37:Q38"/>
    <mergeCell ref="F37:F38"/>
    <mergeCell ref="E34:M34"/>
    <mergeCell ref="O34:W34"/>
    <mergeCell ref="AW53:AX53"/>
    <mergeCell ref="AW52:AZ52"/>
    <mergeCell ref="F53:F54"/>
    <mergeCell ref="I53:J53"/>
    <mergeCell ref="O53:O54"/>
    <mergeCell ref="P53:P54"/>
    <mergeCell ref="S53:T53"/>
    <mergeCell ref="G53:G54"/>
    <mergeCell ref="Q53:Q54"/>
    <mergeCell ref="Y53:Y54"/>
    <mergeCell ref="Z53:Z54"/>
  </mergeCells>
  <phoneticPr fontId="28" type="noConversion"/>
  <pageMargins left="0.23622047244094491" right="0.23622047244094491" top="0.74803149606299213" bottom="0.74803149606299213" header="0.31496062992125984" footer="0.31496062992125984"/>
  <pageSetup paperSize="8" scale="41" orientation="landscape" horizontalDpi="4294967293" r:id="rId1"/>
  <headerFooter alignWithMargins="0"/>
  <rowBreaks count="1" manualBreakCount="1">
    <brk id="35" max="5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Reserves 2021</vt:lpstr>
      <vt:lpstr>Summary</vt:lpstr>
      <vt:lpstr>CMS, Leisure &amp; Ins</vt:lpstr>
      <vt:lpstr>All Blocks</vt:lpstr>
      <vt:lpstr>'All Blocks'!Print_Area</vt:lpstr>
      <vt:lpstr>'CMS, Leisure &amp; Ins'!Print_Area</vt:lpstr>
      <vt:lpstr>'Reserves 2021'!Print_Area</vt:lpstr>
      <vt:lpstr>Summary!Print_Area</vt:lpstr>
      <vt:lpstr>'All Blocks'!Print_Titles</vt:lpstr>
    </vt:vector>
  </TitlesOfParts>
  <Company>Mainstay Group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stuartbu</dc:creator>
  <cp:lastModifiedBy>Accounts</cp:lastModifiedBy>
  <cp:lastPrinted>2021-12-22T18:31:27Z</cp:lastPrinted>
  <dcterms:created xsi:type="dcterms:W3CDTF">2011-06-09T15:13:02Z</dcterms:created>
  <dcterms:modified xsi:type="dcterms:W3CDTF">2021-12-22T18:32:20Z</dcterms:modified>
</cp:coreProperties>
</file>