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s\Documents\SERVICE CHARGE BUDGET 2021\"/>
    </mc:Choice>
  </mc:AlternateContent>
  <xr:revisionPtr revIDLastSave="0" documentId="8_{D53A8EB5-8762-4925-A091-C264603147E4}" xr6:coauthVersionLast="45" xr6:coauthVersionMax="45" xr10:uidLastSave="{00000000-0000-0000-0000-000000000000}"/>
  <bookViews>
    <workbookView xWindow="-108" yWindow="-108" windowWidth="23256" windowHeight="12576" tabRatio="859" activeTab="1" xr2:uid="{00000000-000D-0000-FFFF-FFFF00000000}"/>
  </bookViews>
  <sheets>
    <sheet name="Reserves" sheetId="22" r:id="rId1"/>
    <sheet name="Summary" sheetId="19" r:id="rId2"/>
    <sheet name="Communal Management Costs" sheetId="20" r:id="rId3"/>
    <sheet name="Leisure Suite" sheetId="6" r:id="rId4"/>
    <sheet name="Insurance" sheetId="8" r:id="rId5"/>
    <sheet name="Alexandra" sheetId="1" r:id="rId6"/>
    <sheet name="Cliffe" sheetId="3" r:id="rId7"/>
    <sheet name="Alexandra Building" sheetId="2" r:id="rId8"/>
    <sheet name="Edward" sheetId="4" r:id="rId9"/>
    <sheet name="Kingswood" sheetId="9" r:id="rId10"/>
    <sheet name="Muxlow " sheetId="21" r:id="rId11"/>
    <sheet name="Peveril" sheetId="11" r:id="rId12"/>
    <sheet name="Sheaf 1" sheetId="12" r:id="rId13"/>
    <sheet name="Sheaf 2" sheetId="13" r:id="rId14"/>
    <sheet name="Sheaf 3 Apts" sheetId="15" r:id="rId15"/>
    <sheet name="Sheaf 3 Building" sheetId="14" r:id="rId16"/>
    <sheet name="Victoria" sheetId="16" r:id="rId17"/>
  </sheets>
  <definedNames>
    <definedName name="_xlnm.Print_Area" localSheetId="5">Alexandra!$A$1:$AH$52</definedName>
    <definedName name="_xlnm.Print_Area" localSheetId="7">'Alexandra Building'!$A$1:$AI$29</definedName>
    <definedName name="_xlnm.Print_Area" localSheetId="6">Cliffe!$A$1:$AI$45</definedName>
    <definedName name="_xlnm.Print_Area" localSheetId="2">'Communal Management Costs'!$A$1:$AH$94</definedName>
    <definedName name="_xlnm.Print_Area" localSheetId="8">Edward!$A$1:$AI$46</definedName>
    <definedName name="_xlnm.Print_Area" localSheetId="4">Insurance!$A$1:$AN$26</definedName>
    <definedName name="_xlnm.Print_Area" localSheetId="3">'Leisure Suite'!$A$1:$AE$86</definedName>
    <definedName name="_xlnm.Print_Area" localSheetId="10">'Muxlow '!$A$1:$AI$52</definedName>
    <definedName name="_xlnm.Print_Area" localSheetId="0">Reserves!$A$1:$X$32</definedName>
    <definedName name="_xlnm.Print_Area" localSheetId="1">Summary!$A$1:$AO$35</definedName>
    <definedName name="_xlnm.Print_Titles" localSheetId="5">Alexandra!$1:$2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" l="1"/>
  <c r="D22" i="8" s="1"/>
  <c r="D21" i="8" l="1"/>
  <c r="D23" i="8" s="1"/>
  <c r="D61" i="6"/>
  <c r="D60" i="6"/>
  <c r="R8" i="20" l="1"/>
  <c r="Q76" i="20"/>
  <c r="Q70" i="20"/>
  <c r="Q69" i="20"/>
  <c r="Q68" i="20"/>
  <c r="Q67" i="20"/>
  <c r="Q66" i="20"/>
  <c r="Q65" i="20"/>
  <c r="Q64" i="20"/>
  <c r="Q63" i="20"/>
  <c r="Q57" i="20"/>
  <c r="Q56" i="20"/>
  <c r="Q55" i="20"/>
  <c r="Q54" i="20"/>
  <c r="Q53" i="20"/>
  <c r="Q52" i="20"/>
  <c r="Q51" i="20"/>
  <c r="Q50" i="20"/>
  <c r="Q39" i="20"/>
  <c r="Q34" i="20"/>
  <c r="S34" i="20" s="1"/>
  <c r="Q33" i="20"/>
  <c r="Q32" i="20"/>
  <c r="Q31" i="20"/>
  <c r="Q26" i="20"/>
  <c r="Q25" i="20"/>
  <c r="Q23" i="20"/>
  <c r="Q22" i="20"/>
  <c r="Q21" i="20"/>
  <c r="Q20" i="20"/>
  <c r="Q19" i="20"/>
  <c r="Q18" i="20"/>
  <c r="Q13" i="20"/>
  <c r="Q12" i="20"/>
  <c r="Q11" i="20"/>
  <c r="Q10" i="20"/>
  <c r="Q9" i="20"/>
  <c r="Q8" i="20"/>
  <c r="Q67" i="6"/>
  <c r="Q61" i="6"/>
  <c r="Q60" i="6"/>
  <c r="Q55" i="6"/>
  <c r="Q54" i="6"/>
  <c r="Q53" i="6"/>
  <c r="Q51" i="6"/>
  <c r="Q46" i="6"/>
  <c r="Q41" i="6"/>
  <c r="Q40" i="6"/>
  <c r="Q39" i="6"/>
  <c r="Q38" i="6"/>
  <c r="Q37" i="6"/>
  <c r="Q35" i="6"/>
  <c r="Q30" i="6"/>
  <c r="Q29" i="6"/>
  <c r="Q28" i="6"/>
  <c r="Q23" i="6"/>
  <c r="Q22" i="6"/>
  <c r="Q21" i="6"/>
  <c r="Q20" i="6"/>
  <c r="Q18" i="6"/>
  <c r="Q8" i="6"/>
  <c r="Q12" i="8"/>
  <c r="Q11" i="8"/>
  <c r="Q10" i="8"/>
  <c r="Q9" i="8"/>
  <c r="Q8" i="8"/>
  <c r="Q26" i="1"/>
  <c r="Q8" i="1"/>
  <c r="Q11" i="2"/>
  <c r="Q7" i="2"/>
  <c r="Q28" i="3"/>
  <c r="Q24" i="3"/>
  <c r="Q8" i="3"/>
  <c r="Q28" i="4"/>
  <c r="Q24" i="4"/>
  <c r="Q8" i="4"/>
  <c r="Q32" i="9"/>
  <c r="Q28" i="9"/>
  <c r="Q23" i="9"/>
  <c r="Q22" i="9"/>
  <c r="Q21" i="9"/>
  <c r="Q19" i="9"/>
  <c r="Q8" i="9"/>
  <c r="Q29" i="21"/>
  <c r="Q25" i="21"/>
  <c r="Q20" i="21"/>
  <c r="Q8" i="21"/>
  <c r="Q29" i="11"/>
  <c r="Q25" i="11"/>
  <c r="Q21" i="11"/>
  <c r="Q8" i="11"/>
  <c r="Q31" i="12"/>
  <c r="Q27" i="12"/>
  <c r="Q23" i="12"/>
  <c r="Q21" i="12"/>
  <c r="Q16" i="12"/>
  <c r="Q8" i="12"/>
  <c r="Q38" i="13"/>
  <c r="Q34" i="13"/>
  <c r="Q30" i="13"/>
  <c r="Q29" i="13"/>
  <c r="Q28" i="13"/>
  <c r="Q22" i="13"/>
  <c r="Q21" i="13"/>
  <c r="Q8" i="13"/>
  <c r="Q27" i="15"/>
  <c r="Q10" i="15"/>
  <c r="Q12" i="14"/>
  <c r="Q8" i="14"/>
  <c r="Q29" i="16"/>
  <c r="Q25" i="16"/>
  <c r="Q20" i="16"/>
  <c r="Q10" i="16"/>
  <c r="Q8" i="16"/>
  <c r="M22" i="22"/>
  <c r="J21" i="13" l="1"/>
  <c r="K25" i="6"/>
  <c r="AC69" i="20" l="1"/>
  <c r="AE69" i="20" s="1"/>
  <c r="X69" i="20"/>
  <c r="Z69" i="20" s="1"/>
  <c r="V69" i="20"/>
  <c r="S69" i="20"/>
  <c r="O69" i="20"/>
  <c r="J69" i="20"/>
  <c r="L69" i="20" s="1"/>
  <c r="H69" i="20"/>
  <c r="D69" i="20"/>
  <c r="X54" i="6" l="1"/>
  <c r="Z54" i="6" s="1"/>
  <c r="V54" i="6"/>
  <c r="S54" i="6"/>
  <c r="J54" i="6"/>
  <c r="L54" i="6" s="1"/>
  <c r="D54" i="6"/>
  <c r="AC25" i="20"/>
  <c r="AE25" i="20" s="1"/>
  <c r="X25" i="20"/>
  <c r="Z25" i="20" s="1"/>
  <c r="V25" i="20"/>
  <c r="S25" i="20"/>
  <c r="O25" i="20"/>
  <c r="J25" i="20"/>
  <c r="L25" i="20" s="1"/>
  <c r="H25" i="20"/>
  <c r="H54" i="6" l="1"/>
  <c r="D44" i="20"/>
  <c r="H44" i="20"/>
  <c r="J44" i="20"/>
  <c r="L44" i="20" s="1"/>
  <c r="O44" i="20"/>
  <c r="Q44" i="20"/>
  <c r="S44" i="20"/>
  <c r="V44" i="20"/>
  <c r="X44" i="20"/>
  <c r="Z44" i="20" s="1"/>
  <c r="AC44" i="20"/>
  <c r="AE44" i="20" s="1"/>
  <c r="P18" i="1" l="1"/>
  <c r="Q18" i="1" s="1"/>
  <c r="P16" i="1"/>
  <c r="Q16" i="1" s="1"/>
  <c r="P9" i="1"/>
  <c r="Q9" i="1" s="1"/>
  <c r="P19" i="3"/>
  <c r="Q19" i="3" s="1"/>
  <c r="P17" i="3"/>
  <c r="Q17" i="3" s="1"/>
  <c r="P9" i="3"/>
  <c r="Q9" i="3" s="1"/>
  <c r="W20" i="22"/>
  <c r="X2" i="22"/>
  <c r="P33" i="16"/>
  <c r="P9" i="16" s="1"/>
  <c r="Q9" i="16" s="1"/>
  <c r="O33" i="16"/>
  <c r="I33" i="16"/>
  <c r="H33" i="16"/>
  <c r="E33" i="16"/>
  <c r="A33" i="16"/>
  <c r="P16" i="14"/>
  <c r="O16" i="14"/>
  <c r="I16" i="14"/>
  <c r="H16" i="14"/>
  <c r="E16" i="14"/>
  <c r="A16" i="14"/>
  <c r="P31" i="15"/>
  <c r="P20" i="15" s="1"/>
  <c r="Q20" i="15" s="1"/>
  <c r="O31" i="15"/>
  <c r="I31" i="15"/>
  <c r="H31" i="15"/>
  <c r="E31" i="15"/>
  <c r="A31" i="15"/>
  <c r="P42" i="13"/>
  <c r="P19" i="13" s="1"/>
  <c r="Q19" i="13" s="1"/>
  <c r="O42" i="13"/>
  <c r="I42" i="13"/>
  <c r="H42" i="13"/>
  <c r="E42" i="13"/>
  <c r="A42" i="13"/>
  <c r="P35" i="12"/>
  <c r="P17" i="12" s="1"/>
  <c r="Q17" i="12" s="1"/>
  <c r="O35" i="12"/>
  <c r="I35" i="12"/>
  <c r="H35" i="12"/>
  <c r="E35" i="12"/>
  <c r="A35" i="12"/>
  <c r="P33" i="11"/>
  <c r="P19" i="11" s="1"/>
  <c r="Q19" i="11" s="1"/>
  <c r="O33" i="11"/>
  <c r="I33" i="11"/>
  <c r="H33" i="11"/>
  <c r="E33" i="11"/>
  <c r="A33" i="11"/>
  <c r="P33" i="21"/>
  <c r="P17" i="21" s="1"/>
  <c r="Q17" i="21" s="1"/>
  <c r="O33" i="21"/>
  <c r="I33" i="21"/>
  <c r="H33" i="21"/>
  <c r="E33" i="21"/>
  <c r="A33" i="21"/>
  <c r="P36" i="9"/>
  <c r="P18" i="9" s="1"/>
  <c r="Q18" i="9" s="1"/>
  <c r="O36" i="9"/>
  <c r="I36" i="9"/>
  <c r="H36" i="9"/>
  <c r="E36" i="9"/>
  <c r="A36" i="9"/>
  <c r="P32" i="4"/>
  <c r="P19" i="4" s="1"/>
  <c r="Q19" i="4" s="1"/>
  <c r="S19" i="4" s="1"/>
  <c r="O32" i="4"/>
  <c r="I32" i="4"/>
  <c r="H32" i="4"/>
  <c r="E32" i="4"/>
  <c r="A32" i="4"/>
  <c r="V19" i="4"/>
  <c r="X19" i="4"/>
  <c r="Z19" i="4" s="1"/>
  <c r="AC19" i="4"/>
  <c r="AE19" i="4"/>
  <c r="P32" i="3"/>
  <c r="P18" i="3" s="1"/>
  <c r="Q18" i="3" s="1"/>
  <c r="O32" i="3"/>
  <c r="I32" i="3"/>
  <c r="H32" i="3"/>
  <c r="E32" i="3"/>
  <c r="A32" i="3"/>
  <c r="P15" i="2"/>
  <c r="O15" i="2"/>
  <c r="I15" i="2"/>
  <c r="H15" i="2"/>
  <c r="E15" i="2"/>
  <c r="A15" i="2"/>
  <c r="P30" i="1"/>
  <c r="P19" i="1" s="1"/>
  <c r="Q19" i="1" s="1"/>
  <c r="O30" i="1"/>
  <c r="I30" i="1"/>
  <c r="H30" i="1"/>
  <c r="E30" i="1"/>
  <c r="A30" i="1"/>
  <c r="P17" i="8"/>
  <c r="O17" i="8"/>
  <c r="I17" i="8"/>
  <c r="H17" i="8"/>
  <c r="E17" i="8"/>
  <c r="A17" i="8"/>
  <c r="P71" i="6"/>
  <c r="P49" i="6" s="1"/>
  <c r="Q49" i="6" s="1"/>
  <c r="O71" i="6"/>
  <c r="I71" i="6"/>
  <c r="H71" i="6"/>
  <c r="E71" i="6"/>
  <c r="A71" i="6"/>
  <c r="O80" i="20"/>
  <c r="H80" i="20"/>
  <c r="P80" i="20"/>
  <c r="P38" i="20" s="1"/>
  <c r="Q38" i="20" s="1"/>
  <c r="I80" i="20"/>
  <c r="P17" i="16" l="1"/>
  <c r="Q17" i="16" s="1"/>
  <c r="P16" i="13"/>
  <c r="Q16" i="13" s="1"/>
  <c r="P20" i="13"/>
  <c r="Q20" i="13" s="1"/>
  <c r="P18" i="12"/>
  <c r="Q18" i="12" s="1"/>
  <c r="P16" i="11"/>
  <c r="Q16" i="11" s="1"/>
  <c r="P9" i="21"/>
  <c r="Q9" i="21" s="1"/>
  <c r="P18" i="21"/>
  <c r="Q18" i="21" s="1"/>
  <c r="P16" i="4"/>
  <c r="Q16" i="4" s="1"/>
  <c r="P18" i="16"/>
  <c r="Q18" i="16" s="1"/>
  <c r="P17" i="13"/>
  <c r="Q17" i="13" s="1"/>
  <c r="P9" i="12"/>
  <c r="Q9" i="12" s="1"/>
  <c r="P19" i="12"/>
  <c r="Q19" i="12" s="1"/>
  <c r="P17" i="11"/>
  <c r="Q17" i="11" s="1"/>
  <c r="P10" i="21"/>
  <c r="Q10" i="21" s="1"/>
  <c r="P19" i="21"/>
  <c r="Q19" i="21" s="1"/>
  <c r="P17" i="4"/>
  <c r="Q17" i="4" s="1"/>
  <c r="P16" i="3"/>
  <c r="Q16" i="3" s="1"/>
  <c r="P10" i="3"/>
  <c r="Q10" i="3" s="1"/>
  <c r="P17" i="1"/>
  <c r="Q17" i="1" s="1"/>
  <c r="P9" i="13"/>
  <c r="Q9" i="13" s="1"/>
  <c r="P10" i="12"/>
  <c r="Q10" i="12" s="1"/>
  <c r="P16" i="21"/>
  <c r="Q16" i="21" s="1"/>
  <c r="P9" i="4"/>
  <c r="Q9" i="4" s="1"/>
  <c r="P18" i="4"/>
  <c r="Q18" i="4" s="1"/>
  <c r="P19" i="16"/>
  <c r="Q19" i="16" s="1"/>
  <c r="P18" i="13"/>
  <c r="Q18" i="13" s="1"/>
  <c r="P20" i="12"/>
  <c r="Q20" i="12" s="1"/>
  <c r="P18" i="11"/>
  <c r="Q18" i="11" s="1"/>
  <c r="P16" i="16"/>
  <c r="Q16" i="16" s="1"/>
  <c r="P10" i="13"/>
  <c r="Q10" i="13" s="1"/>
  <c r="P10" i="11"/>
  <c r="Q10" i="11" s="1"/>
  <c r="P10" i="4"/>
  <c r="Q10" i="4" s="1"/>
  <c r="P10" i="1"/>
  <c r="Q10" i="1" s="1"/>
  <c r="P17" i="15"/>
  <c r="Q17" i="15" s="1"/>
  <c r="P9" i="15"/>
  <c r="Q9" i="15" s="1"/>
  <c r="P19" i="15"/>
  <c r="Q19" i="15" s="1"/>
  <c r="P8" i="15"/>
  <c r="Q8" i="15" s="1"/>
  <c r="P18" i="15"/>
  <c r="Q18" i="15" s="1"/>
  <c r="P16" i="15"/>
  <c r="Q16" i="15" s="1"/>
  <c r="P9" i="6"/>
  <c r="P36" i="6"/>
  <c r="Q36" i="6" s="1"/>
  <c r="P50" i="6"/>
  <c r="Q50" i="6" s="1"/>
  <c r="P11" i="6"/>
  <c r="P47" i="6"/>
  <c r="Q47" i="6" s="1"/>
  <c r="P52" i="6"/>
  <c r="Q52" i="6" s="1"/>
  <c r="P10" i="6"/>
  <c r="P48" i="6"/>
  <c r="Q48" i="6" s="1"/>
  <c r="P19" i="6"/>
  <c r="Q19" i="6" s="1"/>
  <c r="P10" i="9"/>
  <c r="Q10" i="9" s="1"/>
  <c r="P16" i="9"/>
  <c r="Q16" i="9" s="1"/>
  <c r="P17" i="9"/>
  <c r="Q17" i="9" s="1"/>
  <c r="P24" i="20"/>
  <c r="Q24" i="20" s="1"/>
  <c r="P9" i="9"/>
  <c r="Q9" i="9" s="1"/>
  <c r="W2" i="22"/>
  <c r="X8" i="22"/>
  <c r="P20" i="1" s="1"/>
  <c r="Q20" i="1" s="1"/>
  <c r="X15" i="22"/>
  <c r="P22" i="12" s="1"/>
  <c r="Q22" i="12" s="1"/>
  <c r="X11" i="22"/>
  <c r="P20" i="4" s="1"/>
  <c r="Q20" i="4" s="1"/>
  <c r="X7" i="22"/>
  <c r="X14" i="22"/>
  <c r="P20" i="11" s="1"/>
  <c r="Q20" i="11" s="1"/>
  <c r="X10" i="22"/>
  <c r="P20" i="3" s="1"/>
  <c r="Q20" i="3" s="1"/>
  <c r="X13" i="22"/>
  <c r="P21" i="21" s="1"/>
  <c r="Q21" i="21" s="1"/>
  <c r="X19" i="22"/>
  <c r="X16" i="22"/>
  <c r="P23" i="13" s="1"/>
  <c r="Q23" i="13" s="1"/>
  <c r="X12" i="22"/>
  <c r="P24" i="9" s="1"/>
  <c r="Q24" i="9" s="1"/>
  <c r="X17" i="22"/>
  <c r="P21" i="15" s="1"/>
  <c r="Q21" i="15" s="1"/>
  <c r="X20" i="22" l="1"/>
  <c r="P21" i="16"/>
  <c r="Q21" i="16" s="1"/>
  <c r="D20" i="4" l="1"/>
  <c r="J20" i="4"/>
  <c r="L20" i="4" s="1"/>
  <c r="O20" i="4"/>
  <c r="V20" i="4"/>
  <c r="X20" i="4"/>
  <c r="Z20" i="4"/>
  <c r="AC20" i="4"/>
  <c r="AE20" i="4" s="1"/>
  <c r="E34" i="13"/>
  <c r="I34" i="13"/>
  <c r="S20" i="4" l="1"/>
  <c r="H20" i="4"/>
  <c r="L19" i="22"/>
  <c r="L18" i="22"/>
  <c r="L17" i="22"/>
  <c r="L15" i="22"/>
  <c r="L14" i="22"/>
  <c r="L13" i="22"/>
  <c r="L12" i="22"/>
  <c r="L11" i="22"/>
  <c r="L10" i="22"/>
  <c r="L9" i="22"/>
  <c r="L8" i="22"/>
  <c r="L6" i="22"/>
  <c r="L5" i="22"/>
  <c r="K7" i="22" l="1"/>
  <c r="I7" i="22" l="1"/>
  <c r="E30" i="19"/>
  <c r="D66" i="20" l="1"/>
  <c r="D64" i="20"/>
  <c r="D70" i="20"/>
  <c r="D63" i="20"/>
  <c r="J68" i="20"/>
  <c r="J67" i="20"/>
  <c r="L67" i="20" s="1"/>
  <c r="J66" i="20"/>
  <c r="L66" i="20" s="1"/>
  <c r="J65" i="20"/>
  <c r="L65" i="20" s="1"/>
  <c r="J64" i="20"/>
  <c r="L64" i="20" s="1"/>
  <c r="J70" i="20"/>
  <c r="L70" i="20" s="1"/>
  <c r="J63" i="20"/>
  <c r="L63" i="20" s="1"/>
  <c r="J56" i="20"/>
  <c r="L56" i="20" s="1"/>
  <c r="J58" i="20"/>
  <c r="L58" i="20" s="1"/>
  <c r="J57" i="20"/>
  <c r="L57" i="20" s="1"/>
  <c r="J55" i="20"/>
  <c r="L55" i="20" s="1"/>
  <c r="J54" i="20"/>
  <c r="L54" i="20" s="1"/>
  <c r="J53" i="20"/>
  <c r="L53" i="20" s="1"/>
  <c r="J52" i="20"/>
  <c r="L52" i="20" s="1"/>
  <c r="J51" i="20"/>
  <c r="L51" i="20" s="1"/>
  <c r="J50" i="20"/>
  <c r="L50" i="20" s="1"/>
  <c r="J45" i="20"/>
  <c r="L45" i="20" s="1"/>
  <c r="J43" i="20"/>
  <c r="L43" i="20" s="1"/>
  <c r="J42" i="20"/>
  <c r="L42" i="20" s="1"/>
  <c r="J41" i="20"/>
  <c r="J40" i="20"/>
  <c r="J39" i="20"/>
  <c r="L39" i="20" s="1"/>
  <c r="J38" i="20"/>
  <c r="J33" i="20"/>
  <c r="L33" i="20" s="1"/>
  <c r="J32" i="20"/>
  <c r="L32" i="20" s="1"/>
  <c r="J31" i="20"/>
  <c r="L31" i="20" s="1"/>
  <c r="J26" i="20"/>
  <c r="L26" i="20" s="1"/>
  <c r="J24" i="20"/>
  <c r="L24" i="20" s="1"/>
  <c r="J23" i="20"/>
  <c r="L23" i="20" s="1"/>
  <c r="J22" i="20"/>
  <c r="L22" i="20" s="1"/>
  <c r="J21" i="20"/>
  <c r="J20" i="20"/>
  <c r="L20" i="20" s="1"/>
  <c r="J19" i="20"/>
  <c r="L19" i="20" s="1"/>
  <c r="J18" i="20"/>
  <c r="J13" i="20"/>
  <c r="L13" i="20" s="1"/>
  <c r="J12" i="20"/>
  <c r="L12" i="20" s="1"/>
  <c r="J11" i="20"/>
  <c r="L11" i="20" s="1"/>
  <c r="J10" i="20"/>
  <c r="L10" i="20" s="1"/>
  <c r="J9" i="20"/>
  <c r="J8" i="20"/>
  <c r="L8" i="20" s="1"/>
  <c r="J61" i="6"/>
  <c r="L61" i="6" s="1"/>
  <c r="J60" i="6"/>
  <c r="L60" i="6" s="1"/>
  <c r="J55" i="6"/>
  <c r="L55" i="6" s="1"/>
  <c r="J53" i="6"/>
  <c r="L53" i="6" s="1"/>
  <c r="J52" i="6"/>
  <c r="L52" i="6" s="1"/>
  <c r="J51" i="6"/>
  <c r="L51" i="6" s="1"/>
  <c r="J50" i="6"/>
  <c r="L50" i="6" s="1"/>
  <c r="J49" i="6"/>
  <c r="L49" i="6" s="1"/>
  <c r="J48" i="6"/>
  <c r="J47" i="6"/>
  <c r="L47" i="6" s="1"/>
  <c r="J46" i="6"/>
  <c r="L46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J30" i="6"/>
  <c r="L30" i="6" s="1"/>
  <c r="J29" i="6"/>
  <c r="L29" i="6" s="1"/>
  <c r="J28" i="6"/>
  <c r="J23" i="6"/>
  <c r="L23" i="6" s="1"/>
  <c r="J22" i="6"/>
  <c r="L22" i="6" s="1"/>
  <c r="J21" i="6"/>
  <c r="L21" i="6" s="1"/>
  <c r="J20" i="6"/>
  <c r="L20" i="6" s="1"/>
  <c r="J19" i="6"/>
  <c r="L19" i="6" s="1"/>
  <c r="J18" i="6"/>
  <c r="J17" i="6"/>
  <c r="L17" i="6" s="1"/>
  <c r="J12" i="6"/>
  <c r="L12" i="6" s="1"/>
  <c r="J10" i="6"/>
  <c r="L10" i="6" s="1"/>
  <c r="J11" i="6"/>
  <c r="L11" i="6" s="1"/>
  <c r="J9" i="6"/>
  <c r="J8" i="6"/>
  <c r="J13" i="8"/>
  <c r="L13" i="8" s="1"/>
  <c r="J12" i="8"/>
  <c r="L12" i="8" s="1"/>
  <c r="J11" i="8"/>
  <c r="L11" i="8" s="1"/>
  <c r="J10" i="8"/>
  <c r="L10" i="8" s="1"/>
  <c r="J9" i="8"/>
  <c r="L9" i="8" s="1"/>
  <c r="J8" i="8"/>
  <c r="L8" i="8" s="1"/>
  <c r="H68" i="20"/>
  <c r="H67" i="20"/>
  <c r="H66" i="20"/>
  <c r="H65" i="20"/>
  <c r="H64" i="20"/>
  <c r="H70" i="20"/>
  <c r="H63" i="20"/>
  <c r="H56" i="20"/>
  <c r="H58" i="20"/>
  <c r="H57" i="20"/>
  <c r="H55" i="20"/>
  <c r="H54" i="20"/>
  <c r="H53" i="20"/>
  <c r="H52" i="20"/>
  <c r="H51" i="20"/>
  <c r="H50" i="20"/>
  <c r="H45" i="20"/>
  <c r="H43" i="20"/>
  <c r="H42" i="20"/>
  <c r="H41" i="20"/>
  <c r="H40" i="20"/>
  <c r="H39" i="20"/>
  <c r="H33" i="20"/>
  <c r="H32" i="20"/>
  <c r="H31" i="20"/>
  <c r="H26" i="20"/>
  <c r="H23" i="20"/>
  <c r="H22" i="20"/>
  <c r="H21" i="20"/>
  <c r="H20" i="20"/>
  <c r="H19" i="20"/>
  <c r="H18" i="20"/>
  <c r="H13" i="20"/>
  <c r="H12" i="20"/>
  <c r="H11" i="20"/>
  <c r="H10" i="20"/>
  <c r="H9" i="20"/>
  <c r="K60" i="20"/>
  <c r="D56" i="20"/>
  <c r="D45" i="20"/>
  <c r="D43" i="20"/>
  <c r="D42" i="20"/>
  <c r="D41" i="20"/>
  <c r="D40" i="20"/>
  <c r="D39" i="20"/>
  <c r="K72" i="20"/>
  <c r="L68" i="20"/>
  <c r="K47" i="20"/>
  <c r="L40" i="20"/>
  <c r="K35" i="20"/>
  <c r="K28" i="20"/>
  <c r="K15" i="20"/>
  <c r="D22" i="20"/>
  <c r="D21" i="20"/>
  <c r="E15" i="20"/>
  <c r="D13" i="20"/>
  <c r="D12" i="20"/>
  <c r="D11" i="20"/>
  <c r="D10" i="20"/>
  <c r="D9" i="20"/>
  <c r="D8" i="20"/>
  <c r="E32" i="6"/>
  <c r="E63" i="6"/>
  <c r="D55" i="6"/>
  <c r="D53" i="6"/>
  <c r="D51" i="6"/>
  <c r="D46" i="6"/>
  <c r="D41" i="6"/>
  <c r="D40" i="6"/>
  <c r="D39" i="6"/>
  <c r="D38" i="6"/>
  <c r="D37" i="6"/>
  <c r="D35" i="6"/>
  <c r="D30" i="6"/>
  <c r="D29" i="6"/>
  <c r="D28" i="6"/>
  <c r="D23" i="6"/>
  <c r="D22" i="6"/>
  <c r="D21" i="6"/>
  <c r="D20" i="6"/>
  <c r="D18" i="6"/>
  <c r="D17" i="6"/>
  <c r="D12" i="6"/>
  <c r="D8" i="6"/>
  <c r="K63" i="6"/>
  <c r="K57" i="6"/>
  <c r="L48" i="6"/>
  <c r="K43" i="6"/>
  <c r="K32" i="6"/>
  <c r="K14" i="6"/>
  <c r="K15" i="8"/>
  <c r="K10" i="19" s="1"/>
  <c r="D13" i="8"/>
  <c r="D12" i="8"/>
  <c r="D11" i="8"/>
  <c r="D8" i="8"/>
  <c r="D15" i="20" l="1"/>
  <c r="J32" i="6"/>
  <c r="J15" i="20"/>
  <c r="J28" i="20"/>
  <c r="J47" i="20"/>
  <c r="L21" i="20"/>
  <c r="L41" i="20"/>
  <c r="J60" i="20"/>
  <c r="J14" i="6"/>
  <c r="L9" i="20"/>
  <c r="L15" i="20" s="1"/>
  <c r="J43" i="6"/>
  <c r="L60" i="20"/>
  <c r="J35" i="20"/>
  <c r="L8" i="6"/>
  <c r="K74" i="20"/>
  <c r="L35" i="20"/>
  <c r="L72" i="20"/>
  <c r="L18" i="20"/>
  <c r="J72" i="20"/>
  <c r="L38" i="20"/>
  <c r="L57" i="6"/>
  <c r="J25" i="6"/>
  <c r="L28" i="6"/>
  <c r="L32" i="6" s="1"/>
  <c r="L9" i="6"/>
  <c r="J57" i="6"/>
  <c r="J63" i="6"/>
  <c r="L63" i="6"/>
  <c r="K65" i="6"/>
  <c r="D63" i="6"/>
  <c r="D32" i="6"/>
  <c r="L18" i="6"/>
  <c r="L25" i="6" s="1"/>
  <c r="L35" i="6"/>
  <c r="L43" i="6" s="1"/>
  <c r="L15" i="8"/>
  <c r="J15" i="8"/>
  <c r="L14" i="6" l="1"/>
  <c r="L65" i="6" s="1"/>
  <c r="L47" i="20"/>
  <c r="L28" i="20"/>
  <c r="L74" i="20" s="1"/>
  <c r="J74" i="20"/>
  <c r="J65" i="6"/>
  <c r="I30" i="19" l="1"/>
  <c r="J21" i="16"/>
  <c r="J20" i="16"/>
  <c r="J19" i="16"/>
  <c r="J18" i="16"/>
  <c r="J17" i="16"/>
  <c r="J16" i="16"/>
  <c r="J11" i="16"/>
  <c r="J10" i="16"/>
  <c r="J9" i="16"/>
  <c r="J8" i="16"/>
  <c r="J21" i="15"/>
  <c r="J20" i="15"/>
  <c r="J19" i="15"/>
  <c r="J18" i="15"/>
  <c r="J17" i="15"/>
  <c r="J16" i="15"/>
  <c r="J11" i="15"/>
  <c r="J9" i="15"/>
  <c r="J8" i="15"/>
  <c r="J10" i="15"/>
  <c r="J30" i="13"/>
  <c r="J34" i="13"/>
  <c r="J29" i="13"/>
  <c r="J28" i="13"/>
  <c r="J23" i="13"/>
  <c r="J22" i="13"/>
  <c r="J20" i="13"/>
  <c r="J19" i="13"/>
  <c r="J18" i="13"/>
  <c r="J17" i="13"/>
  <c r="J16" i="13"/>
  <c r="J11" i="13"/>
  <c r="J10" i="13"/>
  <c r="J9" i="13"/>
  <c r="J8" i="13"/>
  <c r="J23" i="12"/>
  <c r="J22" i="12"/>
  <c r="J21" i="12"/>
  <c r="J20" i="12"/>
  <c r="J19" i="12"/>
  <c r="J18" i="12"/>
  <c r="J17" i="12"/>
  <c r="J16" i="12"/>
  <c r="J11" i="12"/>
  <c r="J10" i="12"/>
  <c r="J9" i="12"/>
  <c r="J8" i="12"/>
  <c r="J21" i="11"/>
  <c r="J20" i="11"/>
  <c r="J19" i="11"/>
  <c r="J18" i="11"/>
  <c r="J17" i="11"/>
  <c r="J16" i="11"/>
  <c r="J11" i="11"/>
  <c r="J10" i="11"/>
  <c r="J9" i="11"/>
  <c r="J8" i="11"/>
  <c r="J21" i="21"/>
  <c r="J20" i="21"/>
  <c r="J19" i="21"/>
  <c r="J18" i="21"/>
  <c r="J17" i="21"/>
  <c r="J16" i="21"/>
  <c r="J11" i="21"/>
  <c r="J10" i="21"/>
  <c r="J9" i="21"/>
  <c r="J8" i="21"/>
  <c r="J24" i="9"/>
  <c r="J23" i="9"/>
  <c r="J22" i="9"/>
  <c r="J21" i="9"/>
  <c r="J20" i="9"/>
  <c r="J19" i="9"/>
  <c r="J18" i="9"/>
  <c r="J17" i="9"/>
  <c r="J16" i="9"/>
  <c r="J11" i="9"/>
  <c r="J10" i="9"/>
  <c r="J9" i="9"/>
  <c r="J8" i="9"/>
  <c r="J19" i="4"/>
  <c r="J18" i="4"/>
  <c r="J17" i="4"/>
  <c r="J16" i="4"/>
  <c r="J11" i="4"/>
  <c r="J10" i="4"/>
  <c r="J9" i="4"/>
  <c r="J8" i="4"/>
  <c r="J20" i="3"/>
  <c r="J19" i="3"/>
  <c r="J18" i="3"/>
  <c r="J17" i="3"/>
  <c r="J16" i="3"/>
  <c r="J11" i="3"/>
  <c r="J10" i="3"/>
  <c r="J9" i="3"/>
  <c r="J8" i="3"/>
  <c r="J20" i="1"/>
  <c r="J19" i="1"/>
  <c r="J18" i="1"/>
  <c r="J17" i="1"/>
  <c r="J16" i="1"/>
  <c r="J11" i="1"/>
  <c r="J10" i="1"/>
  <c r="J9" i="1"/>
  <c r="J8" i="1"/>
  <c r="K5" i="1" l="1"/>
  <c r="K5" i="16"/>
  <c r="K5" i="12"/>
  <c r="K5" i="4"/>
  <c r="K5" i="14"/>
  <c r="K5" i="11"/>
  <c r="K5" i="3"/>
  <c r="K5" i="15"/>
  <c r="K5" i="21"/>
  <c r="K5" i="2"/>
  <c r="K5" i="13"/>
  <c r="K5" i="9"/>
  <c r="K5" i="19"/>
  <c r="K5" i="20"/>
  <c r="K5" i="6"/>
  <c r="K5" i="8"/>
  <c r="K23" i="16"/>
  <c r="L21" i="16"/>
  <c r="L20" i="16"/>
  <c r="L19" i="16"/>
  <c r="L18" i="16"/>
  <c r="L17" i="16"/>
  <c r="J23" i="16"/>
  <c r="K13" i="16"/>
  <c r="L11" i="16"/>
  <c r="L10" i="16"/>
  <c r="L9" i="16"/>
  <c r="L8" i="16"/>
  <c r="J13" i="16"/>
  <c r="D21" i="16"/>
  <c r="D20" i="16"/>
  <c r="D11" i="16"/>
  <c r="D8" i="16"/>
  <c r="K10" i="14"/>
  <c r="K23" i="15"/>
  <c r="L21" i="15"/>
  <c r="L20" i="15"/>
  <c r="L19" i="15"/>
  <c r="L18" i="15"/>
  <c r="L17" i="15"/>
  <c r="L16" i="15"/>
  <c r="K13" i="15"/>
  <c r="L11" i="15"/>
  <c r="L9" i="15"/>
  <c r="L8" i="15"/>
  <c r="L10" i="15"/>
  <c r="J13" i="15"/>
  <c r="D21" i="15"/>
  <c r="D11" i="15"/>
  <c r="D10" i="15"/>
  <c r="L34" i="13"/>
  <c r="K32" i="13"/>
  <c r="L30" i="13"/>
  <c r="L29" i="13"/>
  <c r="J32" i="13"/>
  <c r="L28" i="13"/>
  <c r="K25" i="13"/>
  <c r="L23" i="13"/>
  <c r="L22" i="13"/>
  <c r="L21" i="13"/>
  <c r="L20" i="13"/>
  <c r="L19" i="13"/>
  <c r="L18" i="13"/>
  <c r="L17" i="13"/>
  <c r="L16" i="13"/>
  <c r="K13" i="13"/>
  <c r="L11" i="13"/>
  <c r="L10" i="13"/>
  <c r="L9" i="13"/>
  <c r="L8" i="13"/>
  <c r="J13" i="13"/>
  <c r="E32" i="13"/>
  <c r="D30" i="13"/>
  <c r="D29" i="13"/>
  <c r="D28" i="13"/>
  <c r="D23" i="13"/>
  <c r="D22" i="13"/>
  <c r="D21" i="13"/>
  <c r="D11" i="13"/>
  <c r="D8" i="13"/>
  <c r="K25" i="12"/>
  <c r="L23" i="12"/>
  <c r="L22" i="12"/>
  <c r="L21" i="12"/>
  <c r="L20" i="12"/>
  <c r="L19" i="12"/>
  <c r="L18" i="12"/>
  <c r="L17" i="12"/>
  <c r="L16" i="12"/>
  <c r="J25" i="12"/>
  <c r="K13" i="12"/>
  <c r="L11" i="12"/>
  <c r="L10" i="12"/>
  <c r="L9" i="12"/>
  <c r="J13" i="12"/>
  <c r="D23" i="12"/>
  <c r="D22" i="12"/>
  <c r="D21" i="12"/>
  <c r="D16" i="12"/>
  <c r="D11" i="12"/>
  <c r="D8" i="12"/>
  <c r="D8" i="11"/>
  <c r="K23" i="11"/>
  <c r="L21" i="11"/>
  <c r="L20" i="11"/>
  <c r="L19" i="11"/>
  <c r="L18" i="11"/>
  <c r="L17" i="11"/>
  <c r="L16" i="11"/>
  <c r="J23" i="11"/>
  <c r="K13" i="11"/>
  <c r="L11" i="11"/>
  <c r="L10" i="11"/>
  <c r="L9" i="11"/>
  <c r="L8" i="11"/>
  <c r="D21" i="11"/>
  <c r="D20" i="11"/>
  <c r="D11" i="11"/>
  <c r="K23" i="21"/>
  <c r="L21" i="21"/>
  <c r="L20" i="21"/>
  <c r="L19" i="21"/>
  <c r="L18" i="21"/>
  <c r="L17" i="21"/>
  <c r="L16" i="21"/>
  <c r="J23" i="21"/>
  <c r="K13" i="21"/>
  <c r="L11" i="21"/>
  <c r="L10" i="21"/>
  <c r="L9" i="21"/>
  <c r="L8" i="21"/>
  <c r="D21" i="21"/>
  <c r="D20" i="21"/>
  <c r="D11" i="21"/>
  <c r="D8" i="21"/>
  <c r="K26" i="9"/>
  <c r="L24" i="9"/>
  <c r="L23" i="9"/>
  <c r="L22" i="9"/>
  <c r="L21" i="9"/>
  <c r="L20" i="9"/>
  <c r="L19" i="9"/>
  <c r="L18" i="9"/>
  <c r="L17" i="9"/>
  <c r="L16" i="9"/>
  <c r="K13" i="9"/>
  <c r="L11" i="9"/>
  <c r="L10" i="9"/>
  <c r="L9" i="9"/>
  <c r="L8" i="9"/>
  <c r="J13" i="9"/>
  <c r="D24" i="9"/>
  <c r="D23" i="9"/>
  <c r="D22" i="9"/>
  <c r="D21" i="9"/>
  <c r="D20" i="9"/>
  <c r="D19" i="9"/>
  <c r="D11" i="9"/>
  <c r="D8" i="9"/>
  <c r="K22" i="4"/>
  <c r="L19" i="4"/>
  <c r="L18" i="4"/>
  <c r="L17" i="4"/>
  <c r="J22" i="4"/>
  <c r="K13" i="4"/>
  <c r="L11" i="4"/>
  <c r="L10" i="4"/>
  <c r="L9" i="4"/>
  <c r="L8" i="4"/>
  <c r="J13" i="4"/>
  <c r="D11" i="4"/>
  <c r="D8" i="4"/>
  <c r="K22" i="3"/>
  <c r="L20" i="3"/>
  <c r="L19" i="3"/>
  <c r="L18" i="3"/>
  <c r="L17" i="3"/>
  <c r="J22" i="3"/>
  <c r="L16" i="3"/>
  <c r="K13" i="3"/>
  <c r="L11" i="3"/>
  <c r="L10" i="3"/>
  <c r="L9" i="3"/>
  <c r="L8" i="3"/>
  <c r="D20" i="3"/>
  <c r="D11" i="3"/>
  <c r="D8" i="3"/>
  <c r="K9" i="2"/>
  <c r="A80" i="20"/>
  <c r="K22" i="1"/>
  <c r="L20" i="1"/>
  <c r="L19" i="1"/>
  <c r="L18" i="1"/>
  <c r="L17" i="1"/>
  <c r="K13" i="1"/>
  <c r="L11" i="1"/>
  <c r="L10" i="1"/>
  <c r="L9" i="1"/>
  <c r="L8" i="1"/>
  <c r="D20" i="1"/>
  <c r="D11" i="1"/>
  <c r="D8" i="1"/>
  <c r="K27" i="21" l="1"/>
  <c r="K27" i="11"/>
  <c r="K25" i="15"/>
  <c r="K27" i="16"/>
  <c r="D32" i="13"/>
  <c r="K26" i="4"/>
  <c r="L13" i="13"/>
  <c r="L23" i="15"/>
  <c r="L13" i="16"/>
  <c r="L16" i="16"/>
  <c r="L23" i="16" s="1"/>
  <c r="L13" i="15"/>
  <c r="J23" i="15"/>
  <c r="J25" i="15" s="1"/>
  <c r="K36" i="13"/>
  <c r="L32" i="13"/>
  <c r="L25" i="13"/>
  <c r="J25" i="13"/>
  <c r="J36" i="13" s="1"/>
  <c r="K29" i="12"/>
  <c r="L25" i="12"/>
  <c r="L8" i="12"/>
  <c r="L13" i="12" s="1"/>
  <c r="L13" i="11"/>
  <c r="L23" i="11"/>
  <c r="J13" i="11"/>
  <c r="L23" i="21"/>
  <c r="L13" i="21"/>
  <c r="J13" i="21"/>
  <c r="K30" i="9"/>
  <c r="L13" i="9"/>
  <c r="L26" i="9"/>
  <c r="J26" i="9"/>
  <c r="L13" i="4"/>
  <c r="L16" i="4"/>
  <c r="L22" i="4" s="1"/>
  <c r="K26" i="3"/>
  <c r="L22" i="3"/>
  <c r="L13" i="3"/>
  <c r="J13" i="3"/>
  <c r="K24" i="1"/>
  <c r="J22" i="1"/>
  <c r="L13" i="1"/>
  <c r="J13" i="1"/>
  <c r="L16" i="1"/>
  <c r="L22" i="1" s="1"/>
  <c r="L25" i="15" l="1"/>
  <c r="L36" i="13"/>
  <c r="J24" i="1"/>
  <c r="L24" i="1"/>
  <c r="H8" i="1" l="1"/>
  <c r="O8" i="1"/>
  <c r="S8" i="1"/>
  <c r="V8" i="1"/>
  <c r="X8" i="1"/>
  <c r="Z8" i="1" s="1"/>
  <c r="V9" i="1"/>
  <c r="X9" i="1"/>
  <c r="Z9" i="1" s="1"/>
  <c r="AC58" i="20" l="1"/>
  <c r="AE58" i="20" s="1"/>
  <c r="X58" i="20"/>
  <c r="Z58" i="20" s="1"/>
  <c r="V58" i="20"/>
  <c r="Q58" i="20"/>
  <c r="S58" i="20" s="1"/>
  <c r="O58" i="20"/>
  <c r="AC26" i="20"/>
  <c r="AE26" i="20" s="1"/>
  <c r="X26" i="20"/>
  <c r="Z26" i="20" s="1"/>
  <c r="V26" i="20"/>
  <c r="S26" i="20"/>
  <c r="O26" i="20"/>
  <c r="AC23" i="12" l="1"/>
  <c r="AE23" i="12" s="1"/>
  <c r="AC22" i="12"/>
  <c r="AE22" i="12" s="1"/>
  <c r="H23" i="12"/>
  <c r="V23" i="12"/>
  <c r="X23" i="12"/>
  <c r="Z23" i="12" s="1"/>
  <c r="R25" i="12"/>
  <c r="W25" i="12"/>
  <c r="Y25" i="12"/>
  <c r="AB25" i="12"/>
  <c r="AD25" i="12"/>
  <c r="I27" i="12"/>
  <c r="O27" i="12"/>
  <c r="S27" i="12"/>
  <c r="V27" i="12"/>
  <c r="X27" i="12"/>
  <c r="Z27" i="12" s="1"/>
  <c r="AC27" i="12"/>
  <c r="AE27" i="12" s="1"/>
  <c r="H27" i="12" l="1"/>
  <c r="J27" i="12"/>
  <c r="E27" i="12"/>
  <c r="O23" i="12"/>
  <c r="S23" i="12"/>
  <c r="D27" i="12" l="1"/>
  <c r="S15" i="22"/>
  <c r="L27" i="12"/>
  <c r="L29" i="12" s="1"/>
  <c r="J29" i="12"/>
  <c r="K21" i="22"/>
  <c r="U24" i="19" l="1"/>
  <c r="S25" i="16" l="1"/>
  <c r="R23" i="16"/>
  <c r="S20" i="16"/>
  <c r="R13" i="16"/>
  <c r="R27" i="16" s="1"/>
  <c r="R31" i="16" s="1"/>
  <c r="R22" i="19" s="1"/>
  <c r="S10" i="16"/>
  <c r="S8" i="16"/>
  <c r="R10" i="14"/>
  <c r="R14" i="14" s="1"/>
  <c r="R21" i="19" s="1"/>
  <c r="R23" i="15"/>
  <c r="R13" i="15"/>
  <c r="S10" i="15"/>
  <c r="S34" i="13"/>
  <c r="R32" i="13"/>
  <c r="S30" i="13"/>
  <c r="S28" i="13"/>
  <c r="R25" i="13"/>
  <c r="S22" i="13"/>
  <c r="S21" i="13"/>
  <c r="R13" i="13"/>
  <c r="S8" i="13"/>
  <c r="S21" i="12"/>
  <c r="R13" i="12"/>
  <c r="R29" i="12" s="1"/>
  <c r="S8" i="12"/>
  <c r="S25" i="11"/>
  <c r="R23" i="11"/>
  <c r="S21" i="11"/>
  <c r="R13" i="11"/>
  <c r="S8" i="11"/>
  <c r="S25" i="21"/>
  <c r="R23" i="21"/>
  <c r="S20" i="21"/>
  <c r="R13" i="21"/>
  <c r="S8" i="21"/>
  <c r="R26" i="9"/>
  <c r="S23" i="9"/>
  <c r="S22" i="9"/>
  <c r="S21" i="9"/>
  <c r="S19" i="9"/>
  <c r="R13" i="9"/>
  <c r="S24" i="4"/>
  <c r="R22" i="4"/>
  <c r="R13" i="4"/>
  <c r="S8" i="4"/>
  <c r="S24" i="3"/>
  <c r="R22" i="3"/>
  <c r="R13" i="3"/>
  <c r="R9" i="2"/>
  <c r="R13" i="2" s="1"/>
  <c r="R12" i="19" s="1"/>
  <c r="R22" i="1"/>
  <c r="R13" i="1"/>
  <c r="R15" i="8"/>
  <c r="R10" i="19" s="1"/>
  <c r="S12" i="8"/>
  <c r="S11" i="8"/>
  <c r="S10" i="8"/>
  <c r="S9" i="8"/>
  <c r="S8" i="8"/>
  <c r="R63" i="6"/>
  <c r="R57" i="6"/>
  <c r="R43" i="6"/>
  <c r="R32" i="6"/>
  <c r="R25" i="6"/>
  <c r="R14" i="6"/>
  <c r="S53" i="6"/>
  <c r="S51" i="6"/>
  <c r="S46" i="6"/>
  <c r="S41" i="6"/>
  <c r="S40" i="6"/>
  <c r="S39" i="6"/>
  <c r="S38" i="6"/>
  <c r="S37" i="6"/>
  <c r="S35" i="6"/>
  <c r="S30" i="6"/>
  <c r="S28" i="6"/>
  <c r="S23" i="6"/>
  <c r="S22" i="6"/>
  <c r="S21" i="6"/>
  <c r="S20" i="6"/>
  <c r="Q12" i="6"/>
  <c r="S12" i="6" s="1"/>
  <c r="S68" i="20"/>
  <c r="S67" i="20"/>
  <c r="S66" i="20"/>
  <c r="S65" i="20"/>
  <c r="S64" i="20"/>
  <c r="S70" i="20"/>
  <c r="S56" i="20"/>
  <c r="S57" i="20"/>
  <c r="S55" i="20"/>
  <c r="S54" i="20"/>
  <c r="S53" i="20"/>
  <c r="S52" i="20"/>
  <c r="S51" i="20"/>
  <c r="Q45" i="20"/>
  <c r="S45" i="20" s="1"/>
  <c r="Q43" i="20"/>
  <c r="S43" i="20" s="1"/>
  <c r="Q42" i="20"/>
  <c r="S42" i="20" s="1"/>
  <c r="Q41" i="20"/>
  <c r="S41" i="20" s="1"/>
  <c r="Q40" i="20"/>
  <c r="S40" i="20" s="1"/>
  <c r="S39" i="20"/>
  <c r="S33" i="20"/>
  <c r="S32" i="20"/>
  <c r="S31" i="20"/>
  <c r="S23" i="20"/>
  <c r="S22" i="20"/>
  <c r="S21" i="20"/>
  <c r="S20" i="20"/>
  <c r="S19" i="20"/>
  <c r="S18" i="20"/>
  <c r="S13" i="20"/>
  <c r="S12" i="20"/>
  <c r="S11" i="20"/>
  <c r="S10" i="20"/>
  <c r="S8" i="20"/>
  <c r="R72" i="20"/>
  <c r="R60" i="20"/>
  <c r="R47" i="20"/>
  <c r="R35" i="20"/>
  <c r="R28" i="20"/>
  <c r="R15" i="20"/>
  <c r="R25" i="15" l="1"/>
  <c r="R29" i="15" s="1"/>
  <c r="R20" i="19" s="1"/>
  <c r="R27" i="11"/>
  <c r="R31" i="11" s="1"/>
  <c r="R17" i="19" s="1"/>
  <c r="S16" i="12"/>
  <c r="Q9" i="2"/>
  <c r="R30" i="9"/>
  <c r="R34" i="9" s="1"/>
  <c r="R15" i="19" s="1"/>
  <c r="R36" i="13"/>
  <c r="R40" i="13" s="1"/>
  <c r="R19" i="19" s="1"/>
  <c r="Q10" i="14"/>
  <c r="Q15" i="20"/>
  <c r="Q60" i="20"/>
  <c r="Q72" i="20"/>
  <c r="S8" i="14"/>
  <c r="S10" i="14" s="1"/>
  <c r="R33" i="12"/>
  <c r="R18" i="19" s="1"/>
  <c r="R27" i="21"/>
  <c r="R31" i="21" s="1"/>
  <c r="R16" i="19" s="1"/>
  <c r="S8" i="9"/>
  <c r="R26" i="4"/>
  <c r="R30" i="4" s="1"/>
  <c r="R14" i="19" s="1"/>
  <c r="R26" i="3"/>
  <c r="R30" i="3" s="1"/>
  <c r="R13" i="19" s="1"/>
  <c r="S8" i="3"/>
  <c r="S7" i="2"/>
  <c r="S9" i="2" s="1"/>
  <c r="R24" i="1"/>
  <c r="R28" i="1" s="1"/>
  <c r="R11" i="19" s="1"/>
  <c r="S35" i="20"/>
  <c r="Q35" i="20"/>
  <c r="S60" i="6"/>
  <c r="R74" i="20"/>
  <c r="R78" i="20" s="1"/>
  <c r="R8" i="19" s="1"/>
  <c r="S9" i="20"/>
  <c r="S15" i="20" s="1"/>
  <c r="Q32" i="6"/>
  <c r="S29" i="6"/>
  <c r="S32" i="6" s="1"/>
  <c r="R65" i="6"/>
  <c r="R69" i="6" s="1"/>
  <c r="R9" i="19" s="1"/>
  <c r="S8" i="6"/>
  <c r="S50" i="20"/>
  <c r="S60" i="20" s="1"/>
  <c r="S63" i="20"/>
  <c r="S72" i="20" s="1"/>
  <c r="S18" i="6"/>
  <c r="I25" i="16"/>
  <c r="I8" i="14"/>
  <c r="H34" i="13"/>
  <c r="I25" i="11"/>
  <c r="I25" i="21"/>
  <c r="I28" i="9"/>
  <c r="I24" i="4"/>
  <c r="I7" i="2"/>
  <c r="I24" i="3"/>
  <c r="J24" i="3" s="1"/>
  <c r="H10" i="8"/>
  <c r="H9" i="8"/>
  <c r="I32" i="13"/>
  <c r="I63" i="6"/>
  <c r="I32" i="6"/>
  <c r="I72" i="20"/>
  <c r="I60" i="20"/>
  <c r="I35" i="20"/>
  <c r="I15" i="20"/>
  <c r="H12" i="8"/>
  <c r="H11" i="8"/>
  <c r="H8" i="8"/>
  <c r="H8" i="3"/>
  <c r="H8" i="4"/>
  <c r="H23" i="9"/>
  <c r="H22" i="9"/>
  <c r="H21" i="9"/>
  <c r="H19" i="9"/>
  <c r="H8" i="9"/>
  <c r="H21" i="11"/>
  <c r="H8" i="11"/>
  <c r="H20" i="21"/>
  <c r="H8" i="21"/>
  <c r="H21" i="12"/>
  <c r="H16" i="12"/>
  <c r="H8" i="12"/>
  <c r="H28" i="13"/>
  <c r="H22" i="13"/>
  <c r="H21" i="13"/>
  <c r="H8" i="13"/>
  <c r="H10" i="15"/>
  <c r="H20" i="16"/>
  <c r="H10" i="16"/>
  <c r="H8" i="16"/>
  <c r="H60" i="6"/>
  <c r="H53" i="6"/>
  <c r="H51" i="6"/>
  <c r="H46" i="6"/>
  <c r="H41" i="6"/>
  <c r="H40" i="6"/>
  <c r="H39" i="6"/>
  <c r="H38" i="6"/>
  <c r="H37" i="6"/>
  <c r="H35" i="6"/>
  <c r="H30" i="6"/>
  <c r="H29" i="6"/>
  <c r="H28" i="6"/>
  <c r="H23" i="6"/>
  <c r="H22" i="6"/>
  <c r="H21" i="6"/>
  <c r="H20" i="6"/>
  <c r="H18" i="6"/>
  <c r="H12" i="6"/>
  <c r="H8" i="6"/>
  <c r="H8" i="20"/>
  <c r="L24" i="3" l="1"/>
  <c r="L26" i="3" s="1"/>
  <c r="J26" i="3"/>
  <c r="H25" i="16"/>
  <c r="J25" i="16"/>
  <c r="E25" i="16"/>
  <c r="H25" i="21"/>
  <c r="J25" i="21"/>
  <c r="E25" i="21"/>
  <c r="H25" i="11"/>
  <c r="J25" i="11"/>
  <c r="E25" i="11"/>
  <c r="H24" i="4"/>
  <c r="J24" i="4"/>
  <c r="E24" i="4"/>
  <c r="I9" i="2"/>
  <c r="J7" i="2"/>
  <c r="E7" i="2"/>
  <c r="H28" i="9"/>
  <c r="J28" i="9"/>
  <c r="E28" i="9"/>
  <c r="I10" i="14"/>
  <c r="J8" i="14"/>
  <c r="E8" i="14"/>
  <c r="D10" i="8"/>
  <c r="H24" i="3"/>
  <c r="E24" i="3"/>
  <c r="H8" i="14"/>
  <c r="H10" i="14" s="1"/>
  <c r="H7" i="2"/>
  <c r="H9" i="2" s="1"/>
  <c r="H32" i="6"/>
  <c r="I15" i="8"/>
  <c r="I10" i="19" s="1"/>
  <c r="H60" i="20"/>
  <c r="H72" i="20"/>
  <c r="H35" i="20"/>
  <c r="H15" i="20"/>
  <c r="O55" i="20"/>
  <c r="V55" i="20"/>
  <c r="X55" i="20"/>
  <c r="Z55" i="20" s="1"/>
  <c r="AC55" i="20"/>
  <c r="AE55" i="20" s="1"/>
  <c r="S13" i="22" l="1"/>
  <c r="D25" i="21"/>
  <c r="L25" i="21"/>
  <c r="L27" i="21" s="1"/>
  <c r="J27" i="21"/>
  <c r="L25" i="16"/>
  <c r="L27" i="16" s="1"/>
  <c r="J27" i="16"/>
  <c r="D24" i="4"/>
  <c r="S11" i="22"/>
  <c r="L25" i="11"/>
  <c r="L27" i="11" s="1"/>
  <c r="J27" i="11"/>
  <c r="S14" i="22"/>
  <c r="D25" i="11"/>
  <c r="L24" i="4"/>
  <c r="L26" i="4" s="1"/>
  <c r="J26" i="4"/>
  <c r="S19" i="22"/>
  <c r="D25" i="16"/>
  <c r="E9" i="2"/>
  <c r="S9" i="22"/>
  <c r="D7" i="2"/>
  <c r="D9" i="2" s="1"/>
  <c r="L7" i="2"/>
  <c r="L9" i="2" s="1"/>
  <c r="J9" i="2"/>
  <c r="S12" i="22"/>
  <c r="D28" i="9"/>
  <c r="L28" i="9"/>
  <c r="L30" i="9" s="1"/>
  <c r="J30" i="9"/>
  <c r="E10" i="14"/>
  <c r="D8" i="14"/>
  <c r="D10" i="14" s="1"/>
  <c r="S18" i="22"/>
  <c r="L8" i="14"/>
  <c r="L10" i="14" s="1"/>
  <c r="J10" i="14"/>
  <c r="J10" i="19"/>
  <c r="L10" i="19" s="1"/>
  <c r="D9" i="8"/>
  <c r="D15" i="8" s="1"/>
  <c r="E15" i="8"/>
  <c r="E10" i="19" s="1"/>
  <c r="C10" i="19" s="1"/>
  <c r="D24" i="3"/>
  <c r="S10" i="22"/>
  <c r="P11" i="4"/>
  <c r="Q11" i="4" s="1"/>
  <c r="D10" i="19" l="1"/>
  <c r="H11" i="4"/>
  <c r="S11" i="4"/>
  <c r="AB15" i="20"/>
  <c r="AB28" i="20"/>
  <c r="AB35" i="20"/>
  <c r="AB47" i="20"/>
  <c r="AB60" i="20"/>
  <c r="AB72" i="20"/>
  <c r="AB14" i="6"/>
  <c r="AB25" i="6"/>
  <c r="AB32" i="6"/>
  <c r="AB43" i="6"/>
  <c r="AB57" i="6"/>
  <c r="AB63" i="6"/>
  <c r="AB15" i="8"/>
  <c r="AB10" i="19" s="1"/>
  <c r="AB13" i="1"/>
  <c r="AB22" i="1"/>
  <c r="AB9" i="2"/>
  <c r="AB13" i="2" s="1"/>
  <c r="AB12" i="19" s="1"/>
  <c r="AB13" i="3"/>
  <c r="AB22" i="3"/>
  <c r="AB13" i="4"/>
  <c r="AB22" i="4"/>
  <c r="AB13" i="9"/>
  <c r="AB26" i="9"/>
  <c r="AB13" i="21"/>
  <c r="AB23" i="21"/>
  <c r="AB13" i="11"/>
  <c r="AB23" i="11"/>
  <c r="AB13" i="12"/>
  <c r="AB29" i="12" s="1"/>
  <c r="AB13" i="13"/>
  <c r="AB25" i="13"/>
  <c r="AB32" i="13"/>
  <c r="AB13" i="15"/>
  <c r="AB23" i="15"/>
  <c r="AB10" i="14"/>
  <c r="AB14" i="14" s="1"/>
  <c r="AB21" i="19" s="1"/>
  <c r="AB13" i="16"/>
  <c r="AB23" i="16"/>
  <c r="P15" i="20"/>
  <c r="E80" i="20"/>
  <c r="E25" i="20" s="1"/>
  <c r="D25" i="20" s="1"/>
  <c r="P35" i="20"/>
  <c r="P60" i="20"/>
  <c r="P72" i="20"/>
  <c r="E5" i="22"/>
  <c r="E76" i="20" s="1"/>
  <c r="S76" i="20"/>
  <c r="P17" i="6"/>
  <c r="P32" i="6"/>
  <c r="E6" i="22"/>
  <c r="P13" i="8"/>
  <c r="Q13" i="8" s="1"/>
  <c r="P11" i="1"/>
  <c r="E8" i="22"/>
  <c r="E26" i="1" s="1"/>
  <c r="O26" i="1"/>
  <c r="P9" i="2"/>
  <c r="E9" i="22"/>
  <c r="P11" i="3"/>
  <c r="Q11" i="3" s="1"/>
  <c r="E10" i="22"/>
  <c r="E11" i="22"/>
  <c r="E28" i="4" s="1"/>
  <c r="S28" i="4"/>
  <c r="P11" i="9"/>
  <c r="Q11" i="9" s="1"/>
  <c r="E12" i="22"/>
  <c r="P11" i="21"/>
  <c r="Q11" i="21" s="1"/>
  <c r="E13" i="22"/>
  <c r="P11" i="11"/>
  <c r="Q11" i="11" s="1"/>
  <c r="E14" i="22"/>
  <c r="P11" i="12"/>
  <c r="Q11" i="12" s="1"/>
  <c r="E15" i="22"/>
  <c r="P11" i="13"/>
  <c r="Q11" i="13" s="1"/>
  <c r="E16" i="22"/>
  <c r="S38" i="13"/>
  <c r="P11" i="15"/>
  <c r="Q11" i="15" s="1"/>
  <c r="E17" i="22"/>
  <c r="P10" i="14"/>
  <c r="E18" i="22"/>
  <c r="P11" i="16"/>
  <c r="E19" i="22"/>
  <c r="W15" i="20"/>
  <c r="W28" i="20"/>
  <c r="W35" i="20"/>
  <c r="W47" i="20"/>
  <c r="W60" i="20"/>
  <c r="W72" i="20"/>
  <c r="W14" i="6"/>
  <c r="W25" i="6"/>
  <c r="W32" i="6"/>
  <c r="W43" i="6"/>
  <c r="W57" i="6"/>
  <c r="W63" i="6"/>
  <c r="W15" i="8"/>
  <c r="W10" i="19" s="1"/>
  <c r="W13" i="1"/>
  <c r="W22" i="1"/>
  <c r="W9" i="2"/>
  <c r="W13" i="2" s="1"/>
  <c r="W12" i="19" s="1"/>
  <c r="W13" i="3"/>
  <c r="W22" i="3"/>
  <c r="W13" i="4"/>
  <c r="W22" i="4"/>
  <c r="W13" i="9"/>
  <c r="W26" i="9"/>
  <c r="W13" i="21"/>
  <c r="W23" i="21"/>
  <c r="W13" i="11"/>
  <c r="W23" i="11"/>
  <c r="W13" i="12"/>
  <c r="W29" i="12" s="1"/>
  <c r="W13" i="13"/>
  <c r="W25" i="13"/>
  <c r="W32" i="13"/>
  <c r="W13" i="15"/>
  <c r="W23" i="15"/>
  <c r="W10" i="14"/>
  <c r="W14" i="14" s="1"/>
  <c r="W21" i="19" s="1"/>
  <c r="W13" i="16"/>
  <c r="W23" i="16"/>
  <c r="C22" i="22"/>
  <c r="B19" i="22"/>
  <c r="T19" i="22" s="1"/>
  <c r="B18" i="22"/>
  <c r="U18" i="22" s="1"/>
  <c r="B17" i="22"/>
  <c r="B16" i="22"/>
  <c r="I16" i="22" s="1"/>
  <c r="B15" i="22"/>
  <c r="U15" i="22" s="1"/>
  <c r="B14" i="22"/>
  <c r="U14" i="22" s="1"/>
  <c r="B13" i="22"/>
  <c r="U13" i="22" s="1"/>
  <c r="B12" i="22"/>
  <c r="U12" i="22" s="1"/>
  <c r="B11" i="22"/>
  <c r="I11" i="22" s="1"/>
  <c r="B10" i="22"/>
  <c r="U10" i="22" s="1"/>
  <c r="B9" i="22"/>
  <c r="U9" i="22" s="1"/>
  <c r="B8" i="22"/>
  <c r="I8" i="22" s="1"/>
  <c r="O42" i="20"/>
  <c r="AC42" i="20"/>
  <c r="AE42" i="20" s="1"/>
  <c r="X42" i="20"/>
  <c r="Z42" i="20" s="1"/>
  <c r="V42" i="20"/>
  <c r="J22" i="22"/>
  <c r="K19" i="22"/>
  <c r="K18" i="22"/>
  <c r="K17" i="22"/>
  <c r="K16" i="22"/>
  <c r="K15" i="22"/>
  <c r="N15" i="22" s="1"/>
  <c r="K14" i="22"/>
  <c r="K13" i="22"/>
  <c r="K12" i="22"/>
  <c r="N12" i="22" s="1"/>
  <c r="K11" i="22"/>
  <c r="K10" i="22"/>
  <c r="K9" i="22"/>
  <c r="N9" i="22" s="1"/>
  <c r="K8" i="22"/>
  <c r="K6" i="22"/>
  <c r="K5" i="22"/>
  <c r="H22" i="22"/>
  <c r="I6" i="22"/>
  <c r="I5" i="22"/>
  <c r="O10" i="8"/>
  <c r="AC13" i="8"/>
  <c r="AE13" i="8" s="1"/>
  <c r="AC12" i="8"/>
  <c r="AE12" i="8" s="1"/>
  <c r="AC11" i="8"/>
  <c r="AE11" i="8" s="1"/>
  <c r="AC10" i="8"/>
  <c r="AE10" i="8" s="1"/>
  <c r="AC9" i="8"/>
  <c r="AE9" i="8" s="1"/>
  <c r="X13" i="8"/>
  <c r="Z13" i="8" s="1"/>
  <c r="V13" i="8"/>
  <c r="X12" i="8"/>
  <c r="Z12" i="8" s="1"/>
  <c r="V12" i="8"/>
  <c r="O12" i="8"/>
  <c r="X11" i="8"/>
  <c r="Z11" i="8" s="1"/>
  <c r="V11" i="8"/>
  <c r="O11" i="8"/>
  <c r="X10" i="8"/>
  <c r="Z10" i="8" s="1"/>
  <c r="V10" i="8"/>
  <c r="X9" i="8"/>
  <c r="Z9" i="8" s="1"/>
  <c r="V9" i="8"/>
  <c r="AD15" i="8"/>
  <c r="AD10" i="19" s="1"/>
  <c r="Y15" i="8"/>
  <c r="Y10" i="19" s="1"/>
  <c r="AC8" i="8"/>
  <c r="AE8" i="8" s="1"/>
  <c r="X8" i="8"/>
  <c r="V8" i="8"/>
  <c r="Y63" i="6"/>
  <c r="AD63" i="6"/>
  <c r="Y57" i="6"/>
  <c r="AD57" i="6"/>
  <c r="Y43" i="6"/>
  <c r="AD43" i="6"/>
  <c r="Y32" i="6"/>
  <c r="AD32" i="6"/>
  <c r="Y25" i="6"/>
  <c r="AD25" i="6"/>
  <c r="Y14" i="6"/>
  <c r="AD14" i="6"/>
  <c r="X67" i="6"/>
  <c r="Z67" i="6" s="1"/>
  <c r="V67" i="6"/>
  <c r="X61" i="6"/>
  <c r="Z61" i="6" s="1"/>
  <c r="V61" i="6"/>
  <c r="X60" i="6"/>
  <c r="Z60" i="6" s="1"/>
  <c r="V60" i="6"/>
  <c r="O60" i="6"/>
  <c r="X55" i="6"/>
  <c r="Z55" i="6" s="1"/>
  <c r="V55" i="6"/>
  <c r="X53" i="6"/>
  <c r="Z53" i="6" s="1"/>
  <c r="V53" i="6"/>
  <c r="O53" i="6"/>
  <c r="X52" i="6"/>
  <c r="Z52" i="6" s="1"/>
  <c r="V52" i="6"/>
  <c r="X51" i="6"/>
  <c r="Z51" i="6" s="1"/>
  <c r="V51" i="6"/>
  <c r="O51" i="6"/>
  <c r="X50" i="6"/>
  <c r="Z50" i="6" s="1"/>
  <c r="V50" i="6"/>
  <c r="X49" i="6"/>
  <c r="Z49" i="6" s="1"/>
  <c r="V49" i="6"/>
  <c r="X48" i="6"/>
  <c r="Z48" i="6" s="1"/>
  <c r="V48" i="6"/>
  <c r="X47" i="6"/>
  <c r="Z47" i="6" s="1"/>
  <c r="V47" i="6"/>
  <c r="X46" i="6"/>
  <c r="Z46" i="6" s="1"/>
  <c r="V46" i="6"/>
  <c r="O46" i="6"/>
  <c r="X41" i="6"/>
  <c r="Z41" i="6" s="1"/>
  <c r="V41" i="6"/>
  <c r="O41" i="6"/>
  <c r="X40" i="6"/>
  <c r="Z40" i="6" s="1"/>
  <c r="V40" i="6"/>
  <c r="O40" i="6"/>
  <c r="X39" i="6"/>
  <c r="Z39" i="6" s="1"/>
  <c r="V39" i="6"/>
  <c r="O39" i="6"/>
  <c r="X38" i="6"/>
  <c r="Z38" i="6" s="1"/>
  <c r="V38" i="6"/>
  <c r="O38" i="6"/>
  <c r="X37" i="6"/>
  <c r="Z37" i="6" s="1"/>
  <c r="V37" i="6"/>
  <c r="O37" i="6"/>
  <c r="X36" i="6"/>
  <c r="Z36" i="6" s="1"/>
  <c r="V36" i="6"/>
  <c r="X35" i="6"/>
  <c r="Z35" i="6" s="1"/>
  <c r="V35" i="6"/>
  <c r="O35" i="6"/>
  <c r="X30" i="6"/>
  <c r="Z30" i="6" s="1"/>
  <c r="V30" i="6"/>
  <c r="O30" i="6"/>
  <c r="X29" i="6"/>
  <c r="Z29" i="6" s="1"/>
  <c r="V29" i="6"/>
  <c r="O29" i="6"/>
  <c r="X28" i="6"/>
  <c r="Z28" i="6" s="1"/>
  <c r="V28" i="6"/>
  <c r="O28" i="6"/>
  <c r="X23" i="6"/>
  <c r="Z23" i="6" s="1"/>
  <c r="V23" i="6"/>
  <c r="O23" i="6"/>
  <c r="X22" i="6"/>
  <c r="Z22" i="6" s="1"/>
  <c r="V22" i="6"/>
  <c r="O22" i="6"/>
  <c r="X21" i="6"/>
  <c r="Z21" i="6" s="1"/>
  <c r="V21" i="6"/>
  <c r="O21" i="6"/>
  <c r="X20" i="6"/>
  <c r="Z20" i="6" s="1"/>
  <c r="V20" i="6"/>
  <c r="O20" i="6"/>
  <c r="X19" i="6"/>
  <c r="Z19" i="6" s="1"/>
  <c r="V19" i="6"/>
  <c r="X18" i="6"/>
  <c r="Z18" i="6" s="1"/>
  <c r="V18" i="6"/>
  <c r="O18" i="6"/>
  <c r="X17" i="6"/>
  <c r="Z17" i="6" s="1"/>
  <c r="V17" i="6"/>
  <c r="X12" i="6"/>
  <c r="Z12" i="6" s="1"/>
  <c r="V12" i="6"/>
  <c r="O12" i="6"/>
  <c r="X10" i="6"/>
  <c r="Z10" i="6" s="1"/>
  <c r="V10" i="6"/>
  <c r="X11" i="6"/>
  <c r="Z11" i="6" s="1"/>
  <c r="V11" i="6"/>
  <c r="X9" i="6"/>
  <c r="Z9" i="6" s="1"/>
  <c r="V9" i="6"/>
  <c r="X8" i="6"/>
  <c r="Z8" i="6" s="1"/>
  <c r="V8" i="6"/>
  <c r="O8" i="6"/>
  <c r="AC67" i="6"/>
  <c r="AE67" i="6" s="1"/>
  <c r="AC61" i="6"/>
  <c r="AE61" i="6" s="1"/>
  <c r="AC60" i="6"/>
  <c r="AE60" i="6" s="1"/>
  <c r="AC53" i="6"/>
  <c r="AE53" i="6" s="1"/>
  <c r="AC52" i="6"/>
  <c r="AE52" i="6" s="1"/>
  <c r="AC51" i="6"/>
  <c r="AE51" i="6" s="1"/>
  <c r="AC50" i="6"/>
  <c r="AE50" i="6" s="1"/>
  <c r="AC49" i="6"/>
  <c r="AE49" i="6" s="1"/>
  <c r="AC48" i="6"/>
  <c r="AE48" i="6" s="1"/>
  <c r="AC47" i="6"/>
  <c r="AE47" i="6" s="1"/>
  <c r="AC46" i="6"/>
  <c r="AE46" i="6" s="1"/>
  <c r="AC40" i="6"/>
  <c r="AE40" i="6" s="1"/>
  <c r="AC39" i="6"/>
  <c r="AE39" i="6" s="1"/>
  <c r="AC38" i="6"/>
  <c r="AE38" i="6" s="1"/>
  <c r="AC37" i="6"/>
  <c r="AE37" i="6" s="1"/>
  <c r="AC36" i="6"/>
  <c r="AE36" i="6" s="1"/>
  <c r="AC35" i="6"/>
  <c r="AE35" i="6" s="1"/>
  <c r="AC30" i="6"/>
  <c r="AE30" i="6" s="1"/>
  <c r="AC29" i="6"/>
  <c r="AE29" i="6" s="1"/>
  <c r="AC28" i="6"/>
  <c r="AE28" i="6" s="1"/>
  <c r="AC23" i="6"/>
  <c r="AE23" i="6" s="1"/>
  <c r="AC22" i="6"/>
  <c r="AE22" i="6" s="1"/>
  <c r="AC21" i="6"/>
  <c r="AE21" i="6" s="1"/>
  <c r="AC20" i="6"/>
  <c r="AE20" i="6" s="1"/>
  <c r="AC19" i="6"/>
  <c r="AE19" i="6" s="1"/>
  <c r="AC18" i="6"/>
  <c r="AE18" i="6" s="1"/>
  <c r="AC17" i="6"/>
  <c r="AE17" i="6" s="1"/>
  <c r="AC12" i="6"/>
  <c r="AE12" i="6" s="1"/>
  <c r="AC10" i="6"/>
  <c r="AE10" i="6" s="1"/>
  <c r="AC11" i="6"/>
  <c r="AE11" i="6" s="1"/>
  <c r="AC9" i="6"/>
  <c r="AE9" i="6" s="1"/>
  <c r="AC8" i="6"/>
  <c r="AE8" i="6" s="1"/>
  <c r="AC45" i="20"/>
  <c r="AE45" i="20" s="1"/>
  <c r="X45" i="20"/>
  <c r="Z45" i="20" s="1"/>
  <c r="V45" i="20"/>
  <c r="O45" i="20"/>
  <c r="AC43" i="20"/>
  <c r="AE43" i="20" s="1"/>
  <c r="X43" i="20"/>
  <c r="Z43" i="20" s="1"/>
  <c r="V43" i="20"/>
  <c r="O43" i="20"/>
  <c r="AC76" i="20"/>
  <c r="AE76" i="20" s="1"/>
  <c r="X76" i="20"/>
  <c r="Z76" i="20" s="1"/>
  <c r="V76" i="20"/>
  <c r="Y47" i="20"/>
  <c r="AD47" i="20"/>
  <c r="Y35" i="20"/>
  <c r="AD35" i="20"/>
  <c r="Y28" i="20"/>
  <c r="AD28" i="20"/>
  <c r="AC41" i="20"/>
  <c r="AE41" i="20" s="1"/>
  <c r="AC40" i="20"/>
  <c r="AE40" i="20" s="1"/>
  <c r="AC39" i="20"/>
  <c r="AE39" i="20" s="1"/>
  <c r="AC38" i="20"/>
  <c r="AE38" i="20" s="1"/>
  <c r="AC33" i="20"/>
  <c r="AE33" i="20" s="1"/>
  <c r="AC32" i="20"/>
  <c r="AE32" i="20" s="1"/>
  <c r="AC31" i="20"/>
  <c r="AE31" i="20" s="1"/>
  <c r="AC24" i="20"/>
  <c r="AE24" i="20" s="1"/>
  <c r="AC23" i="20"/>
  <c r="AE23" i="20" s="1"/>
  <c r="AC22" i="20"/>
  <c r="AE22" i="20" s="1"/>
  <c r="AC21" i="20"/>
  <c r="AE21" i="20" s="1"/>
  <c r="AC20" i="20"/>
  <c r="AE20" i="20" s="1"/>
  <c r="AC19" i="20"/>
  <c r="AE19" i="20" s="1"/>
  <c r="AC18" i="20"/>
  <c r="AE18" i="20" s="1"/>
  <c r="X41" i="20"/>
  <c r="Z41" i="20" s="1"/>
  <c r="X40" i="20"/>
  <c r="Z40" i="20" s="1"/>
  <c r="X39" i="20"/>
  <c r="Z39" i="20" s="1"/>
  <c r="X38" i="20"/>
  <c r="Z38" i="20" s="1"/>
  <c r="X33" i="20"/>
  <c r="Z33" i="20" s="1"/>
  <c r="X32" i="20"/>
  <c r="Z32" i="20" s="1"/>
  <c r="X31" i="20"/>
  <c r="Z31" i="20" s="1"/>
  <c r="X24" i="20"/>
  <c r="Z24" i="20" s="1"/>
  <c r="X23" i="20"/>
  <c r="Z23" i="20" s="1"/>
  <c r="X22" i="20"/>
  <c r="Z22" i="20" s="1"/>
  <c r="X21" i="20"/>
  <c r="Z21" i="20" s="1"/>
  <c r="X20" i="20"/>
  <c r="Z20" i="20" s="1"/>
  <c r="X19" i="20"/>
  <c r="Z19" i="20" s="1"/>
  <c r="X18" i="20"/>
  <c r="Z18" i="20" s="1"/>
  <c r="V41" i="20"/>
  <c r="V40" i="20"/>
  <c r="V39" i="20"/>
  <c r="V38" i="20"/>
  <c r="V33" i="20"/>
  <c r="V32" i="20"/>
  <c r="V31" i="20"/>
  <c r="V24" i="20"/>
  <c r="V23" i="20"/>
  <c r="V22" i="20"/>
  <c r="V21" i="20"/>
  <c r="V20" i="20"/>
  <c r="V19" i="20"/>
  <c r="V18" i="20"/>
  <c r="O41" i="20"/>
  <c r="O40" i="20"/>
  <c r="O39" i="20"/>
  <c r="O33" i="20"/>
  <c r="O32" i="20"/>
  <c r="O31" i="20"/>
  <c r="O23" i="20"/>
  <c r="O22" i="20"/>
  <c r="O21" i="20"/>
  <c r="O20" i="20"/>
  <c r="O19" i="20"/>
  <c r="O18" i="20"/>
  <c r="X68" i="20"/>
  <c r="Z68" i="20" s="1"/>
  <c r="X67" i="20"/>
  <c r="Z67" i="20" s="1"/>
  <c r="X66" i="20"/>
  <c r="Z66" i="20" s="1"/>
  <c r="X65" i="20"/>
  <c r="Z65" i="20" s="1"/>
  <c r="X64" i="20"/>
  <c r="Z64" i="20" s="1"/>
  <c r="X70" i="20"/>
  <c r="Z70" i="20" s="1"/>
  <c r="X63" i="20"/>
  <c r="Z63" i="20" s="1"/>
  <c r="X56" i="20"/>
  <c r="Z56" i="20" s="1"/>
  <c r="X57" i="20"/>
  <c r="Z57" i="20" s="1"/>
  <c r="X54" i="20"/>
  <c r="Z54" i="20" s="1"/>
  <c r="X53" i="20"/>
  <c r="Z53" i="20" s="1"/>
  <c r="X52" i="20"/>
  <c r="Z52" i="20" s="1"/>
  <c r="X51" i="20"/>
  <c r="Z51" i="20" s="1"/>
  <c r="X50" i="20"/>
  <c r="Z50" i="20" s="1"/>
  <c r="X13" i="20"/>
  <c r="Z13" i="20" s="1"/>
  <c r="X12" i="20"/>
  <c r="Z12" i="20" s="1"/>
  <c r="X11" i="20"/>
  <c r="Z11" i="20" s="1"/>
  <c r="X10" i="20"/>
  <c r="Z10" i="20" s="1"/>
  <c r="X9" i="20"/>
  <c r="Z9" i="20" s="1"/>
  <c r="X8" i="20"/>
  <c r="Z8" i="20" s="1"/>
  <c r="Y72" i="20"/>
  <c r="AD72" i="20"/>
  <c r="Y60" i="20"/>
  <c r="AD60" i="20"/>
  <c r="Y15" i="20"/>
  <c r="AD15" i="20"/>
  <c r="AC68" i="20"/>
  <c r="AE68" i="20" s="1"/>
  <c r="AC67" i="20"/>
  <c r="AE67" i="20" s="1"/>
  <c r="AC66" i="20"/>
  <c r="AE66" i="20" s="1"/>
  <c r="AC65" i="20"/>
  <c r="AE65" i="20" s="1"/>
  <c r="AC64" i="20"/>
  <c r="AE64" i="20" s="1"/>
  <c r="AC70" i="20"/>
  <c r="AE70" i="20" s="1"/>
  <c r="AC63" i="20"/>
  <c r="AE63" i="20" s="1"/>
  <c r="AC56" i="20"/>
  <c r="AE56" i="20" s="1"/>
  <c r="AC57" i="20"/>
  <c r="AE57" i="20" s="1"/>
  <c r="AC54" i="20"/>
  <c r="AE54" i="20" s="1"/>
  <c r="AC53" i="20"/>
  <c r="AE53" i="20" s="1"/>
  <c r="AC52" i="20"/>
  <c r="AE52" i="20" s="1"/>
  <c r="AC51" i="20"/>
  <c r="AE51" i="20" s="1"/>
  <c r="AC50" i="20"/>
  <c r="AE50" i="20" s="1"/>
  <c r="AC13" i="20"/>
  <c r="AE13" i="20" s="1"/>
  <c r="AC12" i="20"/>
  <c r="AE12" i="20" s="1"/>
  <c r="AC11" i="20"/>
  <c r="AE11" i="20" s="1"/>
  <c r="AC10" i="20"/>
  <c r="AE10" i="20" s="1"/>
  <c r="AC9" i="20"/>
  <c r="AE9" i="20" s="1"/>
  <c r="AC8" i="20"/>
  <c r="AE8" i="20" s="1"/>
  <c r="V68" i="20"/>
  <c r="V67" i="20"/>
  <c r="V66" i="20"/>
  <c r="V65" i="20"/>
  <c r="V64" i="20"/>
  <c r="V70" i="20"/>
  <c r="V63" i="20"/>
  <c r="V56" i="20"/>
  <c r="V57" i="20"/>
  <c r="V54" i="20"/>
  <c r="V53" i="20"/>
  <c r="V52" i="20"/>
  <c r="V51" i="20"/>
  <c r="V50" i="20"/>
  <c r="V13" i="20"/>
  <c r="V12" i="20"/>
  <c r="V11" i="20"/>
  <c r="V10" i="20"/>
  <c r="V9" i="20"/>
  <c r="V8" i="20"/>
  <c r="O68" i="20"/>
  <c r="O67" i="20"/>
  <c r="O66" i="20"/>
  <c r="O65" i="20"/>
  <c r="O64" i="20"/>
  <c r="O70" i="20"/>
  <c r="O63" i="20"/>
  <c r="O56" i="20"/>
  <c r="O57" i="20"/>
  <c r="O54" i="20"/>
  <c r="O53" i="20"/>
  <c r="O52" i="20"/>
  <c r="O51" i="20"/>
  <c r="O50" i="20"/>
  <c r="O13" i="20"/>
  <c r="O12" i="20"/>
  <c r="O11" i="20"/>
  <c r="O10" i="20"/>
  <c r="O9" i="20"/>
  <c r="O8" i="20"/>
  <c r="AC12" i="14"/>
  <c r="AE12" i="14" s="1"/>
  <c r="X12" i="14"/>
  <c r="Z12" i="14" s="1"/>
  <c r="V12" i="14"/>
  <c r="AD10" i="14"/>
  <c r="AD14" i="14" s="1"/>
  <c r="AD21" i="19" s="1"/>
  <c r="Y10" i="14"/>
  <c r="Y14" i="14" s="1"/>
  <c r="Y21" i="19" s="1"/>
  <c r="AC29" i="16"/>
  <c r="AE29" i="16" s="1"/>
  <c r="AC25" i="16"/>
  <c r="AE25" i="16" s="1"/>
  <c r="AC21" i="16"/>
  <c r="AE21" i="16" s="1"/>
  <c r="AC20" i="16"/>
  <c r="AE20" i="16" s="1"/>
  <c r="AC19" i="16"/>
  <c r="AE19" i="16" s="1"/>
  <c r="AC18" i="16"/>
  <c r="AE18" i="16" s="1"/>
  <c r="AC17" i="16"/>
  <c r="AE17" i="16" s="1"/>
  <c r="AC16" i="16"/>
  <c r="AE16" i="16" s="1"/>
  <c r="Y23" i="16"/>
  <c r="AD23" i="16"/>
  <c r="O25" i="16"/>
  <c r="O20" i="16"/>
  <c r="V29" i="16"/>
  <c r="V25" i="16"/>
  <c r="V21" i="16"/>
  <c r="V20" i="16"/>
  <c r="V19" i="16"/>
  <c r="V18" i="16"/>
  <c r="V17" i="16"/>
  <c r="V16" i="16"/>
  <c r="X29" i="16"/>
  <c r="Z29" i="16" s="1"/>
  <c r="X25" i="16"/>
  <c r="Z25" i="16" s="1"/>
  <c r="X21" i="16"/>
  <c r="Z21" i="16" s="1"/>
  <c r="X20" i="16"/>
  <c r="Z20" i="16" s="1"/>
  <c r="X19" i="16"/>
  <c r="Z19" i="16" s="1"/>
  <c r="X18" i="16"/>
  <c r="Z18" i="16" s="1"/>
  <c r="X17" i="16"/>
  <c r="Z17" i="16" s="1"/>
  <c r="X16" i="16"/>
  <c r="Z16" i="16" s="1"/>
  <c r="AC11" i="16"/>
  <c r="AE11" i="16" s="1"/>
  <c r="X11" i="16"/>
  <c r="Z11" i="16" s="1"/>
  <c r="V11" i="16"/>
  <c r="AC11" i="15"/>
  <c r="AE11" i="15" s="1"/>
  <c r="V27" i="15"/>
  <c r="V21" i="15"/>
  <c r="V20" i="15"/>
  <c r="V19" i="15"/>
  <c r="V18" i="15"/>
  <c r="V17" i="15"/>
  <c r="V16" i="15"/>
  <c r="Y23" i="15"/>
  <c r="AD23" i="15"/>
  <c r="AC27" i="15"/>
  <c r="AE27" i="15" s="1"/>
  <c r="AC21" i="15"/>
  <c r="AE21" i="15" s="1"/>
  <c r="AC20" i="15"/>
  <c r="AE20" i="15" s="1"/>
  <c r="AC19" i="15"/>
  <c r="AE19" i="15" s="1"/>
  <c r="AC18" i="15"/>
  <c r="AE18" i="15" s="1"/>
  <c r="AC17" i="15"/>
  <c r="AE17" i="15" s="1"/>
  <c r="AC16" i="15"/>
  <c r="AE16" i="15" s="1"/>
  <c r="X27" i="15"/>
  <c r="Z27" i="15" s="1"/>
  <c r="X21" i="15"/>
  <c r="Z21" i="15" s="1"/>
  <c r="X20" i="15"/>
  <c r="Z20" i="15" s="1"/>
  <c r="X19" i="15"/>
  <c r="Z19" i="15" s="1"/>
  <c r="X18" i="15"/>
  <c r="Z18" i="15" s="1"/>
  <c r="X17" i="15"/>
  <c r="Z17" i="15" s="1"/>
  <c r="X16" i="15"/>
  <c r="Z16" i="15" s="1"/>
  <c r="X11" i="15"/>
  <c r="Z11" i="15" s="1"/>
  <c r="V11" i="15"/>
  <c r="V38" i="13"/>
  <c r="V34" i="13"/>
  <c r="V30" i="13"/>
  <c r="V29" i="13"/>
  <c r="V28" i="13"/>
  <c r="V23" i="13"/>
  <c r="V22" i="13"/>
  <c r="V21" i="13"/>
  <c r="V20" i="13"/>
  <c r="V19" i="13"/>
  <c r="V18" i="13"/>
  <c r="V17" i="13"/>
  <c r="V16" i="13"/>
  <c r="Y32" i="13"/>
  <c r="AD32" i="13"/>
  <c r="AC38" i="13"/>
  <c r="AE38" i="13" s="1"/>
  <c r="AC34" i="13"/>
  <c r="AE34" i="13" s="1"/>
  <c r="AC30" i="13"/>
  <c r="AE30" i="13" s="1"/>
  <c r="AC29" i="13"/>
  <c r="AE29" i="13" s="1"/>
  <c r="AC28" i="13"/>
  <c r="AC23" i="13"/>
  <c r="AE23" i="13" s="1"/>
  <c r="AC22" i="13"/>
  <c r="AE22" i="13" s="1"/>
  <c r="AC21" i="13"/>
  <c r="AE21" i="13" s="1"/>
  <c r="AC20" i="13"/>
  <c r="AE20" i="13" s="1"/>
  <c r="AC19" i="13"/>
  <c r="AE19" i="13" s="1"/>
  <c r="AC18" i="13"/>
  <c r="AE18" i="13" s="1"/>
  <c r="AC17" i="13"/>
  <c r="AE17" i="13" s="1"/>
  <c r="AC16" i="13"/>
  <c r="AE16" i="13" s="1"/>
  <c r="Y25" i="13"/>
  <c r="AD25" i="13"/>
  <c r="X38" i="13"/>
  <c r="Z38" i="13" s="1"/>
  <c r="X34" i="13"/>
  <c r="Z34" i="13" s="1"/>
  <c r="X30" i="13"/>
  <c r="Z30" i="13" s="1"/>
  <c r="X29" i="13"/>
  <c r="Z29" i="13" s="1"/>
  <c r="X28" i="13"/>
  <c r="Z28" i="13" s="1"/>
  <c r="X23" i="13"/>
  <c r="Z23" i="13" s="1"/>
  <c r="X22" i="13"/>
  <c r="Z22" i="13" s="1"/>
  <c r="X21" i="13"/>
  <c r="Z21" i="13" s="1"/>
  <c r="X20" i="13"/>
  <c r="Z20" i="13" s="1"/>
  <c r="X19" i="13"/>
  <c r="Z19" i="13" s="1"/>
  <c r="X18" i="13"/>
  <c r="Z18" i="13" s="1"/>
  <c r="X17" i="13"/>
  <c r="Z17" i="13" s="1"/>
  <c r="X16" i="13"/>
  <c r="Z16" i="13" s="1"/>
  <c r="O9" i="8"/>
  <c r="O8" i="8"/>
  <c r="O67" i="6"/>
  <c r="O34" i="13"/>
  <c r="O22" i="13"/>
  <c r="O21" i="13"/>
  <c r="AC11" i="13"/>
  <c r="AE11" i="13" s="1"/>
  <c r="X11" i="13"/>
  <c r="Z11" i="13" s="1"/>
  <c r="V11" i="13"/>
  <c r="X31" i="12"/>
  <c r="Z31" i="12" s="1"/>
  <c r="X22" i="12"/>
  <c r="Z22" i="12" s="1"/>
  <c r="X21" i="12"/>
  <c r="Z21" i="12" s="1"/>
  <c r="X20" i="12"/>
  <c r="Z20" i="12" s="1"/>
  <c r="X19" i="12"/>
  <c r="Z19" i="12" s="1"/>
  <c r="X18" i="12"/>
  <c r="Z18" i="12" s="1"/>
  <c r="X17" i="12"/>
  <c r="Z17" i="12" s="1"/>
  <c r="X16" i="12"/>
  <c r="V31" i="12"/>
  <c r="V22" i="12"/>
  <c r="V21" i="12"/>
  <c r="V20" i="12"/>
  <c r="V19" i="12"/>
  <c r="V18" i="12"/>
  <c r="V17" i="12"/>
  <c r="V16" i="12"/>
  <c r="O21" i="12"/>
  <c r="O16" i="12"/>
  <c r="X11" i="12"/>
  <c r="Z11" i="12" s="1"/>
  <c r="V11" i="12"/>
  <c r="AC11" i="12"/>
  <c r="AE11" i="12" s="1"/>
  <c r="AC31" i="12"/>
  <c r="AE31" i="12" s="1"/>
  <c r="AC21" i="12"/>
  <c r="AE21" i="12" s="1"/>
  <c r="AC20" i="12"/>
  <c r="AE20" i="12" s="1"/>
  <c r="AC19" i="12"/>
  <c r="AE19" i="12" s="1"/>
  <c r="AC18" i="12"/>
  <c r="AE18" i="12" s="1"/>
  <c r="AC17" i="12"/>
  <c r="AE17" i="12" s="1"/>
  <c r="AC16" i="12"/>
  <c r="O11" i="4"/>
  <c r="AD13" i="16"/>
  <c r="Y13" i="16"/>
  <c r="AC10" i="16"/>
  <c r="AE10" i="16" s="1"/>
  <c r="X10" i="16"/>
  <c r="Z10" i="16" s="1"/>
  <c r="V10" i="16"/>
  <c r="O10" i="16"/>
  <c r="AC9" i="16"/>
  <c r="AE9" i="16" s="1"/>
  <c r="X9" i="16"/>
  <c r="Z9" i="16" s="1"/>
  <c r="V9" i="16"/>
  <c r="AC8" i="16"/>
  <c r="AE8" i="16" s="1"/>
  <c r="X8" i="16"/>
  <c r="Z8" i="16" s="1"/>
  <c r="V8" i="16"/>
  <c r="O8" i="16"/>
  <c r="AC8" i="14"/>
  <c r="AE8" i="14" s="1"/>
  <c r="X8" i="14"/>
  <c r="Z8" i="14" s="1"/>
  <c r="Z10" i="14" s="1"/>
  <c r="V8" i="14"/>
  <c r="V10" i="14" s="1"/>
  <c r="V14" i="14" s="1"/>
  <c r="V21" i="19" s="1"/>
  <c r="O8" i="14"/>
  <c r="AD13" i="15"/>
  <c r="Y13" i="15"/>
  <c r="AC9" i="15"/>
  <c r="AE9" i="15" s="1"/>
  <c r="X9" i="15"/>
  <c r="Z9" i="15" s="1"/>
  <c r="V9" i="15"/>
  <c r="AC8" i="15"/>
  <c r="AE8" i="15" s="1"/>
  <c r="X8" i="15"/>
  <c r="Z8" i="15" s="1"/>
  <c r="V8" i="15"/>
  <c r="AC10" i="15"/>
  <c r="AE10" i="15" s="1"/>
  <c r="X10" i="15"/>
  <c r="Z10" i="15" s="1"/>
  <c r="V10" i="15"/>
  <c r="O10" i="15"/>
  <c r="AD13" i="13"/>
  <c r="Y13" i="13"/>
  <c r="AC10" i="13"/>
  <c r="AE10" i="13" s="1"/>
  <c r="X10" i="13"/>
  <c r="Z10" i="13" s="1"/>
  <c r="V10" i="13"/>
  <c r="AC9" i="13"/>
  <c r="AE9" i="13" s="1"/>
  <c r="X9" i="13"/>
  <c r="Z9" i="13" s="1"/>
  <c r="V9" i="13"/>
  <c r="AC8" i="13"/>
  <c r="AE8" i="13" s="1"/>
  <c r="X8" i="13"/>
  <c r="Z8" i="13" s="1"/>
  <c r="V8" i="13"/>
  <c r="O8" i="13"/>
  <c r="AD13" i="12"/>
  <c r="AD29" i="12" s="1"/>
  <c r="Y13" i="12"/>
  <c r="AC10" i="12"/>
  <c r="AE10" i="12" s="1"/>
  <c r="X10" i="12"/>
  <c r="Z10" i="12" s="1"/>
  <c r="V10" i="12"/>
  <c r="AC9" i="12"/>
  <c r="AE9" i="12" s="1"/>
  <c r="X9" i="12"/>
  <c r="Z9" i="12" s="1"/>
  <c r="V9" i="12"/>
  <c r="AC8" i="12"/>
  <c r="AE8" i="12" s="1"/>
  <c r="X8" i="12"/>
  <c r="Z8" i="12" s="1"/>
  <c r="V8" i="12"/>
  <c r="O8" i="12"/>
  <c r="AC11" i="11"/>
  <c r="AE11" i="11" s="1"/>
  <c r="V11" i="11"/>
  <c r="X11" i="11"/>
  <c r="Z11" i="11" s="1"/>
  <c r="AC29" i="11"/>
  <c r="AC25" i="11"/>
  <c r="AC21" i="11"/>
  <c r="AC20" i="11"/>
  <c r="AC19" i="11"/>
  <c r="AC18" i="11"/>
  <c r="AC17" i="11"/>
  <c r="AC16" i="11"/>
  <c r="Y23" i="11"/>
  <c r="AE23" i="11"/>
  <c r="AD23" i="11"/>
  <c r="X29" i="11"/>
  <c r="Z29" i="11" s="1"/>
  <c r="X25" i="11"/>
  <c r="Z25" i="11" s="1"/>
  <c r="X21" i="11"/>
  <c r="Z21" i="11" s="1"/>
  <c r="X20" i="11"/>
  <c r="Z20" i="11" s="1"/>
  <c r="X19" i="11"/>
  <c r="Z19" i="11" s="1"/>
  <c r="X18" i="11"/>
  <c r="Z18" i="11" s="1"/>
  <c r="X17" i="11"/>
  <c r="Z17" i="11" s="1"/>
  <c r="X16" i="11"/>
  <c r="Z16" i="11" s="1"/>
  <c r="V29" i="11"/>
  <c r="V25" i="11"/>
  <c r="V21" i="11"/>
  <c r="V20" i="11"/>
  <c r="V19" i="11"/>
  <c r="V18" i="11"/>
  <c r="V17" i="11"/>
  <c r="V16" i="11"/>
  <c r="O25" i="11"/>
  <c r="O21" i="11"/>
  <c r="AD13" i="11"/>
  <c r="Y13" i="11"/>
  <c r="AC10" i="11"/>
  <c r="AE10" i="11" s="1"/>
  <c r="X10" i="11"/>
  <c r="Z10" i="11" s="1"/>
  <c r="V10" i="11"/>
  <c r="AC9" i="11"/>
  <c r="AE9" i="11" s="1"/>
  <c r="X9" i="11"/>
  <c r="Z9" i="11" s="1"/>
  <c r="V9" i="11"/>
  <c r="AC8" i="11"/>
  <c r="AE8" i="11" s="1"/>
  <c r="X8" i="11"/>
  <c r="Z8" i="11" s="1"/>
  <c r="V8" i="11"/>
  <c r="O8" i="11"/>
  <c r="X11" i="21"/>
  <c r="Z11" i="21" s="1"/>
  <c r="V11" i="21"/>
  <c r="X29" i="21"/>
  <c r="Z29" i="21" s="1"/>
  <c r="X25" i="21"/>
  <c r="Z25" i="21" s="1"/>
  <c r="X21" i="21"/>
  <c r="Z21" i="21" s="1"/>
  <c r="X20" i="21"/>
  <c r="Z20" i="21" s="1"/>
  <c r="X19" i="21"/>
  <c r="Z19" i="21" s="1"/>
  <c r="X18" i="21"/>
  <c r="Z18" i="21" s="1"/>
  <c r="X17" i="21"/>
  <c r="Z17" i="21" s="1"/>
  <c r="X16" i="21"/>
  <c r="Z16" i="21" s="1"/>
  <c r="V29" i="21"/>
  <c r="V25" i="21"/>
  <c r="V21" i="21"/>
  <c r="V20" i="21"/>
  <c r="V19" i="21"/>
  <c r="V18" i="21"/>
  <c r="V17" i="21"/>
  <c r="V16" i="21"/>
  <c r="O25" i="21"/>
  <c r="O20" i="21"/>
  <c r="AC20" i="1"/>
  <c r="AE20" i="1" s="1"/>
  <c r="X20" i="1"/>
  <c r="Z20" i="1" s="1"/>
  <c r="Y23" i="21"/>
  <c r="AD23" i="21"/>
  <c r="AC29" i="21"/>
  <c r="AE29" i="21" s="1"/>
  <c r="AC25" i="21"/>
  <c r="AE25" i="21" s="1"/>
  <c r="AC21" i="21"/>
  <c r="AE21" i="21" s="1"/>
  <c r="AC20" i="21"/>
  <c r="AE20" i="21" s="1"/>
  <c r="AC19" i="21"/>
  <c r="AE19" i="21" s="1"/>
  <c r="AC18" i="21"/>
  <c r="AE18" i="21" s="1"/>
  <c r="AC17" i="21"/>
  <c r="AE17" i="21" s="1"/>
  <c r="AC16" i="21"/>
  <c r="AE16" i="21" s="1"/>
  <c r="AD13" i="21"/>
  <c r="Y13" i="21"/>
  <c r="AC10" i="21"/>
  <c r="AE10" i="21" s="1"/>
  <c r="X10" i="21"/>
  <c r="Z10" i="21" s="1"/>
  <c r="V10" i="21"/>
  <c r="AC9" i="21"/>
  <c r="AE9" i="21" s="1"/>
  <c r="X9" i="21"/>
  <c r="Z9" i="21" s="1"/>
  <c r="V9" i="21"/>
  <c r="AC8" i="21"/>
  <c r="AE8" i="21" s="1"/>
  <c r="X8" i="21"/>
  <c r="Z8" i="21" s="1"/>
  <c r="V8" i="21"/>
  <c r="O8" i="21"/>
  <c r="X11" i="9"/>
  <c r="Z11" i="9" s="1"/>
  <c r="V11" i="9"/>
  <c r="AC11" i="9"/>
  <c r="AE11" i="9" s="1"/>
  <c r="Y26" i="9"/>
  <c r="AD26" i="9"/>
  <c r="O28" i="9"/>
  <c r="O23" i="9"/>
  <c r="O22" i="9"/>
  <c r="O21" i="9"/>
  <c r="V32" i="9"/>
  <c r="V28" i="9"/>
  <c r="V24" i="9"/>
  <c r="V23" i="9"/>
  <c r="V22" i="9"/>
  <c r="V21" i="9"/>
  <c r="V20" i="9"/>
  <c r="V19" i="9"/>
  <c r="V18" i="9"/>
  <c r="V17" i="9"/>
  <c r="V16" i="9"/>
  <c r="X32" i="9"/>
  <c r="X28" i="9"/>
  <c r="X24" i="9"/>
  <c r="Z24" i="9" s="1"/>
  <c r="X23" i="9"/>
  <c r="Z23" i="9" s="1"/>
  <c r="X22" i="9"/>
  <c r="Z22" i="9" s="1"/>
  <c r="X21" i="9"/>
  <c r="Z21" i="9" s="1"/>
  <c r="X20" i="9"/>
  <c r="Z20" i="9" s="1"/>
  <c r="X19" i="9"/>
  <c r="Z19" i="9" s="1"/>
  <c r="X18" i="9"/>
  <c r="Z18" i="9" s="1"/>
  <c r="X17" i="9"/>
  <c r="Z17" i="9" s="1"/>
  <c r="X16" i="9"/>
  <c r="AC24" i="9"/>
  <c r="AE24" i="9" s="1"/>
  <c r="AC23" i="9"/>
  <c r="AE23" i="9" s="1"/>
  <c r="AC22" i="9"/>
  <c r="AE22" i="9" s="1"/>
  <c r="AC21" i="9"/>
  <c r="AE21" i="9" s="1"/>
  <c r="AC20" i="9"/>
  <c r="AE20" i="9" s="1"/>
  <c r="AC19" i="9"/>
  <c r="AE19" i="9" s="1"/>
  <c r="AC18" i="9"/>
  <c r="AE18" i="9" s="1"/>
  <c r="AC17" i="9"/>
  <c r="AE17" i="9" s="1"/>
  <c r="AC16" i="9"/>
  <c r="AE16" i="9" s="1"/>
  <c r="AC32" i="9"/>
  <c r="AE32" i="9" s="1"/>
  <c r="AC28" i="9"/>
  <c r="AE28" i="9" s="1"/>
  <c r="AD13" i="9"/>
  <c r="Y13" i="9"/>
  <c r="AC10" i="9"/>
  <c r="AE10" i="9" s="1"/>
  <c r="X10" i="9"/>
  <c r="Z10" i="9" s="1"/>
  <c r="V10" i="9"/>
  <c r="AC9" i="9"/>
  <c r="AE9" i="9" s="1"/>
  <c r="X9" i="9"/>
  <c r="Z9" i="9" s="1"/>
  <c r="V9" i="9"/>
  <c r="AC8" i="9"/>
  <c r="AE8" i="9" s="1"/>
  <c r="X8" i="9"/>
  <c r="Z8" i="9" s="1"/>
  <c r="V8" i="9"/>
  <c r="O8" i="9"/>
  <c r="X11" i="4"/>
  <c r="Z11" i="4" s="1"/>
  <c r="X28" i="4"/>
  <c r="Z28" i="4" s="1"/>
  <c r="X24" i="4"/>
  <c r="Z24" i="4" s="1"/>
  <c r="AC20" i="3"/>
  <c r="AE20" i="3" s="1"/>
  <c r="AC11" i="3"/>
  <c r="AE11" i="3" s="1"/>
  <c r="X11" i="3"/>
  <c r="Z11" i="3" s="1"/>
  <c r="V11" i="3"/>
  <c r="V28" i="4"/>
  <c r="V24" i="4"/>
  <c r="V18" i="4"/>
  <c r="V17" i="4"/>
  <c r="V16" i="4"/>
  <c r="V11" i="4"/>
  <c r="O24" i="4"/>
  <c r="AC11" i="4"/>
  <c r="AE11" i="4" s="1"/>
  <c r="AC28" i="4"/>
  <c r="AE28" i="4" s="1"/>
  <c r="AC24" i="4"/>
  <c r="AE24" i="4" s="1"/>
  <c r="AC18" i="4"/>
  <c r="AE18" i="4" s="1"/>
  <c r="AC17" i="4"/>
  <c r="AE17" i="4" s="1"/>
  <c r="AC16" i="4"/>
  <c r="AE16" i="4" s="1"/>
  <c r="Y22" i="4"/>
  <c r="AD22" i="4"/>
  <c r="X18" i="4"/>
  <c r="Z18" i="4" s="1"/>
  <c r="X17" i="4"/>
  <c r="Z17" i="4" s="1"/>
  <c r="X16" i="4"/>
  <c r="AD13" i="4"/>
  <c r="Y13" i="4"/>
  <c r="AC10" i="4"/>
  <c r="AE10" i="4" s="1"/>
  <c r="X10" i="4"/>
  <c r="Z10" i="4" s="1"/>
  <c r="V10" i="4"/>
  <c r="AC9" i="4"/>
  <c r="AE9" i="4" s="1"/>
  <c r="X9" i="4"/>
  <c r="Z9" i="4" s="1"/>
  <c r="V9" i="4"/>
  <c r="AC8" i="4"/>
  <c r="AE8" i="4" s="1"/>
  <c r="X8" i="4"/>
  <c r="Z8" i="4" s="1"/>
  <c r="V8" i="4"/>
  <c r="O8" i="4"/>
  <c r="AD13" i="1"/>
  <c r="Y13" i="1"/>
  <c r="X20" i="3"/>
  <c r="Z20" i="3" s="1"/>
  <c r="V20" i="3"/>
  <c r="O24" i="3"/>
  <c r="AD22" i="3"/>
  <c r="Y22" i="3"/>
  <c r="AD13" i="3"/>
  <c r="Y13" i="3"/>
  <c r="O8" i="3"/>
  <c r="X28" i="3"/>
  <c r="Z28" i="3" s="1"/>
  <c r="X24" i="3"/>
  <c r="Z24" i="3" s="1"/>
  <c r="X19" i="3"/>
  <c r="Z19" i="3" s="1"/>
  <c r="X18" i="3"/>
  <c r="Z18" i="3" s="1"/>
  <c r="X17" i="3"/>
  <c r="Z17" i="3" s="1"/>
  <c r="X16" i="3"/>
  <c r="Z16" i="3" s="1"/>
  <c r="X10" i="3"/>
  <c r="Z10" i="3" s="1"/>
  <c r="X9" i="3"/>
  <c r="Z9" i="3" s="1"/>
  <c r="X8" i="3"/>
  <c r="Z8" i="3" s="1"/>
  <c r="V28" i="3"/>
  <c r="V24" i="3"/>
  <c r="V19" i="3"/>
  <c r="V18" i="3"/>
  <c r="V17" i="3"/>
  <c r="V16" i="3"/>
  <c r="V9" i="3"/>
  <c r="V10" i="3"/>
  <c r="V8" i="3"/>
  <c r="AC28" i="3"/>
  <c r="AE28" i="3" s="1"/>
  <c r="AC24" i="3"/>
  <c r="AE24" i="3" s="1"/>
  <c r="AC19" i="3"/>
  <c r="AE19" i="3" s="1"/>
  <c r="AC18" i="3"/>
  <c r="AE18" i="3" s="1"/>
  <c r="AC17" i="3"/>
  <c r="AE17" i="3" s="1"/>
  <c r="AC16" i="3"/>
  <c r="AE16" i="3" s="1"/>
  <c r="AC10" i="3"/>
  <c r="AE10" i="3" s="1"/>
  <c r="AC9" i="3"/>
  <c r="AE9" i="3" s="1"/>
  <c r="AC8" i="3"/>
  <c r="AE8" i="3" s="1"/>
  <c r="X11" i="2"/>
  <c r="Z11" i="2" s="1"/>
  <c r="V11" i="2"/>
  <c r="O7" i="2"/>
  <c r="Y9" i="2"/>
  <c r="Y13" i="2" s="1"/>
  <c r="Y12" i="19" s="1"/>
  <c r="X7" i="2"/>
  <c r="V7" i="2"/>
  <c r="AD9" i="2"/>
  <c r="AD13" i="2" s="1"/>
  <c r="AD12" i="19" s="1"/>
  <c r="AE11" i="2"/>
  <c r="AC7" i="2"/>
  <c r="AE7" i="2" s="1"/>
  <c r="V26" i="1"/>
  <c r="V20" i="1"/>
  <c r="V19" i="1"/>
  <c r="V18" i="1"/>
  <c r="V17" i="1"/>
  <c r="V16" i="1"/>
  <c r="V10" i="1"/>
  <c r="AC26" i="1"/>
  <c r="AE26" i="1" s="1"/>
  <c r="AC19" i="1"/>
  <c r="AE19" i="1" s="1"/>
  <c r="AC18" i="1"/>
  <c r="AE18" i="1" s="1"/>
  <c r="AC17" i="1"/>
  <c r="AE17" i="1" s="1"/>
  <c r="AC16" i="1"/>
  <c r="AE16" i="1" s="1"/>
  <c r="AD22" i="1"/>
  <c r="AC10" i="1"/>
  <c r="AE10" i="1" s="1"/>
  <c r="AC9" i="1"/>
  <c r="AE9" i="1" s="1"/>
  <c r="AC8" i="1"/>
  <c r="Y22" i="1"/>
  <c r="Z11" i="1"/>
  <c r="O11" i="1"/>
  <c r="X26" i="1"/>
  <c r="Z26" i="1" s="1"/>
  <c r="X19" i="1"/>
  <c r="Z19" i="1" s="1"/>
  <c r="X18" i="1"/>
  <c r="Z18" i="1" s="1"/>
  <c r="X17" i="1"/>
  <c r="Z17" i="1" s="1"/>
  <c r="X16" i="1"/>
  <c r="Z16" i="1" s="1"/>
  <c r="X10" i="1"/>
  <c r="Z10" i="1" s="1"/>
  <c r="O19" i="9"/>
  <c r="O28" i="13"/>
  <c r="O30" i="13"/>
  <c r="O11" i="16" l="1"/>
  <c r="Q11" i="16"/>
  <c r="H11" i="1"/>
  <c r="Q11" i="1"/>
  <c r="S11" i="1" s="1"/>
  <c r="O17" i="6"/>
  <c r="Q17" i="6"/>
  <c r="N13" i="22"/>
  <c r="N5" i="22"/>
  <c r="O5" i="22" s="1"/>
  <c r="N14" i="22"/>
  <c r="N6" i="22"/>
  <c r="N11" i="22"/>
  <c r="N19" i="22"/>
  <c r="N17" i="22"/>
  <c r="N10" i="22"/>
  <c r="O10" i="22" s="1"/>
  <c r="N18" i="22"/>
  <c r="N8" i="22"/>
  <c r="D34" i="13"/>
  <c r="S16" i="22"/>
  <c r="S22" i="22" s="1"/>
  <c r="E12" i="14"/>
  <c r="E14" i="14" s="1"/>
  <c r="E21" i="19" s="1"/>
  <c r="C21" i="19" s="1"/>
  <c r="E29" i="11"/>
  <c r="D29" i="11" s="1"/>
  <c r="E32" i="9"/>
  <c r="D32" i="9" s="1"/>
  <c r="E29" i="16"/>
  <c r="D29" i="16" s="1"/>
  <c r="E31" i="12"/>
  <c r="D31" i="12" s="1"/>
  <c r="D28" i="4"/>
  <c r="E28" i="3"/>
  <c r="D28" i="3" s="1"/>
  <c r="E27" i="15"/>
  <c r="D27" i="15" s="1"/>
  <c r="J67" i="6"/>
  <c r="K67" i="6" s="1"/>
  <c r="K69" i="6" s="1"/>
  <c r="K9" i="19" s="1"/>
  <c r="E67" i="6"/>
  <c r="D67" i="6" s="1"/>
  <c r="L16" i="22"/>
  <c r="L22" i="22" s="1"/>
  <c r="E38" i="13"/>
  <c r="J29" i="21"/>
  <c r="E29" i="21"/>
  <c r="E11" i="2"/>
  <c r="E13" i="2" s="1"/>
  <c r="E12" i="19" s="1"/>
  <c r="C12" i="19" s="1"/>
  <c r="J29" i="16"/>
  <c r="J31" i="12"/>
  <c r="J28" i="3"/>
  <c r="J27" i="15"/>
  <c r="H24" i="20"/>
  <c r="D68" i="20"/>
  <c r="D55" i="20"/>
  <c r="E51" i="20"/>
  <c r="D51" i="20" s="1"/>
  <c r="D32" i="20"/>
  <c r="D23" i="20"/>
  <c r="D67" i="20"/>
  <c r="D54" i="20"/>
  <c r="D20" i="20"/>
  <c r="D58" i="20"/>
  <c r="D53" i="20"/>
  <c r="D19" i="20"/>
  <c r="D57" i="20"/>
  <c r="D52" i="20"/>
  <c r="D33" i="20"/>
  <c r="D24" i="20"/>
  <c r="D26" i="20"/>
  <c r="J32" i="9"/>
  <c r="J28" i="4"/>
  <c r="J12" i="14"/>
  <c r="J29" i="11"/>
  <c r="J11" i="2"/>
  <c r="D17" i="1"/>
  <c r="D18" i="1"/>
  <c r="D19" i="1"/>
  <c r="Q9" i="6"/>
  <c r="S9" i="6" s="1"/>
  <c r="D10" i="6"/>
  <c r="D49" i="6"/>
  <c r="D52" i="6"/>
  <c r="D11" i="6"/>
  <c r="D48" i="6"/>
  <c r="D50" i="6"/>
  <c r="P9" i="11"/>
  <c r="Q9" i="11" s="1"/>
  <c r="S9" i="11" s="1"/>
  <c r="D18" i="11"/>
  <c r="D19" i="11"/>
  <c r="D9" i="11"/>
  <c r="D17" i="11"/>
  <c r="H19" i="21"/>
  <c r="D17" i="21"/>
  <c r="D19" i="21"/>
  <c r="D18" i="21"/>
  <c r="D10" i="21"/>
  <c r="S9" i="1"/>
  <c r="D10" i="1"/>
  <c r="S16" i="16"/>
  <c r="D19" i="16"/>
  <c r="D10" i="16"/>
  <c r="D18" i="16"/>
  <c r="D17" i="16"/>
  <c r="S20" i="12"/>
  <c r="D19" i="12"/>
  <c r="D18" i="12"/>
  <c r="D20" i="12"/>
  <c r="D10" i="12"/>
  <c r="H10" i="3"/>
  <c r="D18" i="3"/>
  <c r="D19" i="3"/>
  <c r="D17" i="3"/>
  <c r="D10" i="3"/>
  <c r="H10" i="9"/>
  <c r="D17" i="9"/>
  <c r="D16" i="9"/>
  <c r="D10" i="9"/>
  <c r="S9" i="15"/>
  <c r="D20" i="15"/>
  <c r="D18" i="15"/>
  <c r="D17" i="15"/>
  <c r="D19" i="15"/>
  <c r="D8" i="15"/>
  <c r="H10" i="13"/>
  <c r="D19" i="13"/>
  <c r="D20" i="13"/>
  <c r="D16" i="13"/>
  <c r="D10" i="13"/>
  <c r="D18" i="13"/>
  <c r="H16" i="4"/>
  <c r="D17" i="4"/>
  <c r="D10" i="4"/>
  <c r="D18" i="4"/>
  <c r="D19" i="4"/>
  <c r="J26" i="1"/>
  <c r="K26" i="1" s="1"/>
  <c r="K28" i="1" s="1"/>
  <c r="K11" i="19" s="1"/>
  <c r="Z14" i="14"/>
  <c r="Z21" i="19" s="1"/>
  <c r="Y29" i="12"/>
  <c r="Y33" i="12" s="1"/>
  <c r="Y18" i="19" s="1"/>
  <c r="AE16" i="12"/>
  <c r="AE25" i="12" s="1"/>
  <c r="AC25" i="12"/>
  <c r="V25" i="12"/>
  <c r="Z16" i="12"/>
  <c r="Z25" i="12" s="1"/>
  <c r="X25" i="12"/>
  <c r="V13" i="11"/>
  <c r="F6" i="22"/>
  <c r="AD24" i="1"/>
  <c r="AD28" i="1" s="1"/>
  <c r="AD11" i="19" s="1"/>
  <c r="AC57" i="6"/>
  <c r="X22" i="4"/>
  <c r="Y25" i="15"/>
  <c r="Y29" i="15" s="1"/>
  <c r="Y20" i="19" s="1"/>
  <c r="F5" i="22"/>
  <c r="E22" i="22"/>
  <c r="F17" i="22"/>
  <c r="O14" i="22"/>
  <c r="O18" i="22"/>
  <c r="K22" i="22"/>
  <c r="Y65" i="6"/>
  <c r="Y69" i="6" s="1"/>
  <c r="Y9" i="19" s="1"/>
  <c r="AD65" i="6"/>
  <c r="AD69" i="6" s="1"/>
  <c r="AD9" i="19" s="1"/>
  <c r="V22" i="1"/>
  <c r="AD27" i="11"/>
  <c r="AD31" i="11" s="1"/>
  <c r="AD17" i="19" s="1"/>
  <c r="AC32" i="13"/>
  <c r="Z13" i="4"/>
  <c r="H11" i="13"/>
  <c r="S11" i="13"/>
  <c r="S29" i="11"/>
  <c r="H11" i="11"/>
  <c r="S11" i="11"/>
  <c r="H11" i="9"/>
  <c r="S11" i="9"/>
  <c r="O11" i="2"/>
  <c r="S29" i="16"/>
  <c r="H11" i="16"/>
  <c r="S11" i="16"/>
  <c r="H13" i="8"/>
  <c r="H15" i="8" s="1"/>
  <c r="S27" i="15"/>
  <c r="H11" i="15"/>
  <c r="S11" i="15"/>
  <c r="S31" i="12"/>
  <c r="H11" i="12"/>
  <c r="S11" i="12"/>
  <c r="S29" i="21"/>
  <c r="H11" i="21"/>
  <c r="S11" i="21"/>
  <c r="S10" i="9"/>
  <c r="S28" i="3"/>
  <c r="H11" i="3"/>
  <c r="S11" i="3"/>
  <c r="S26" i="1"/>
  <c r="AD26" i="4"/>
  <c r="AD30" i="4" s="1"/>
  <c r="AD14" i="19" s="1"/>
  <c r="O11" i="9"/>
  <c r="X26" i="9"/>
  <c r="AD27" i="21"/>
  <c r="AD31" i="21" s="1"/>
  <c r="AD16" i="19" s="1"/>
  <c r="AE32" i="6"/>
  <c r="V63" i="6"/>
  <c r="I9" i="22"/>
  <c r="AB36" i="13"/>
  <c r="AB40" i="13" s="1"/>
  <c r="AB19" i="19" s="1"/>
  <c r="AB24" i="1"/>
  <c r="AB28" i="1" s="1"/>
  <c r="AB11" i="19" s="1"/>
  <c r="AC9" i="2"/>
  <c r="AC13" i="2" s="1"/>
  <c r="AC12" i="19" s="1"/>
  <c r="Z13" i="3"/>
  <c r="O11" i="11"/>
  <c r="S67" i="6"/>
  <c r="H17" i="6"/>
  <c r="Z16" i="4"/>
  <c r="Z22" i="4" s="1"/>
  <c r="V13" i="15"/>
  <c r="V25" i="6"/>
  <c r="V15" i="8"/>
  <c r="V10" i="19" s="1"/>
  <c r="O29" i="11"/>
  <c r="O11" i="13"/>
  <c r="Y24" i="1"/>
  <c r="Y28" i="1" s="1"/>
  <c r="Y11" i="19" s="1"/>
  <c r="X13" i="4"/>
  <c r="AD30" i="9"/>
  <c r="AD34" i="9" s="1"/>
  <c r="AD15" i="19" s="1"/>
  <c r="V13" i="12"/>
  <c r="X23" i="15"/>
  <c r="AC25" i="6"/>
  <c r="F10" i="22"/>
  <c r="V43" i="6"/>
  <c r="V57" i="6"/>
  <c r="X15" i="8"/>
  <c r="X10" i="19" s="1"/>
  <c r="W33" i="12"/>
  <c r="W18" i="19" s="1"/>
  <c r="W27" i="21"/>
  <c r="W31" i="21" s="1"/>
  <c r="W16" i="19" s="1"/>
  <c r="AC13" i="13"/>
  <c r="AD27" i="16"/>
  <c r="AD31" i="16" s="1"/>
  <c r="AD22" i="19" s="1"/>
  <c r="V14" i="6"/>
  <c r="V32" i="6"/>
  <c r="V13" i="4"/>
  <c r="Y27" i="21"/>
  <c r="Y31" i="21" s="1"/>
  <c r="Y16" i="19" s="1"/>
  <c r="AE13" i="15"/>
  <c r="AC43" i="6"/>
  <c r="O29" i="16"/>
  <c r="I10" i="22"/>
  <c r="Z23" i="16"/>
  <c r="AE22" i="3"/>
  <c r="AE13" i="11"/>
  <c r="AE27" i="11" s="1"/>
  <c r="AE31" i="11" s="1"/>
  <c r="AE17" i="19" s="1"/>
  <c r="AE13" i="12"/>
  <c r="X22" i="1"/>
  <c r="AE13" i="9"/>
  <c r="X13" i="13"/>
  <c r="Z16" i="9"/>
  <c r="Z26" i="9" s="1"/>
  <c r="O10" i="14"/>
  <c r="X43" i="6"/>
  <c r="X25" i="6"/>
  <c r="V23" i="16"/>
  <c r="O32" i="6"/>
  <c r="AC13" i="11"/>
  <c r="X13" i="9"/>
  <c r="X13" i="1"/>
  <c r="X9" i="2"/>
  <c r="X13" i="2" s="1"/>
  <c r="X12" i="19" s="1"/>
  <c r="AE9" i="2"/>
  <c r="AE13" i="2" s="1"/>
  <c r="AE12" i="19" s="1"/>
  <c r="V22" i="4"/>
  <c r="V26" i="9"/>
  <c r="V13" i="21"/>
  <c r="Z13" i="21"/>
  <c r="AD33" i="12"/>
  <c r="AD18" i="19" s="1"/>
  <c r="AE13" i="13"/>
  <c r="V13" i="16"/>
  <c r="AC32" i="6"/>
  <c r="X14" i="6"/>
  <c r="AC14" i="6"/>
  <c r="AE28" i="13"/>
  <c r="AE32" i="13" s="1"/>
  <c r="X23" i="16"/>
  <c r="Z14" i="6"/>
  <c r="F14" i="22"/>
  <c r="T10" i="22"/>
  <c r="W65" i="6"/>
  <c r="W69" i="6" s="1"/>
  <c r="W9" i="19" s="1"/>
  <c r="AC13" i="15"/>
  <c r="X10" i="14"/>
  <c r="X14" i="14" s="1"/>
  <c r="X21" i="19" s="1"/>
  <c r="AE13" i="16"/>
  <c r="X32" i="6"/>
  <c r="Z8" i="8"/>
  <c r="Z15" i="8" s="1"/>
  <c r="Z10" i="19" s="1"/>
  <c r="X13" i="21"/>
  <c r="X13" i="16"/>
  <c r="AE13" i="4"/>
  <c r="Y26" i="4"/>
  <c r="Y30" i="4" s="1"/>
  <c r="Y14" i="19" s="1"/>
  <c r="AC13" i="9"/>
  <c r="V13" i="9"/>
  <c r="Y30" i="9"/>
  <c r="Y34" i="9" s="1"/>
  <c r="Y15" i="19" s="1"/>
  <c r="V23" i="21"/>
  <c r="V23" i="11"/>
  <c r="V27" i="11" s="1"/>
  <c r="V31" i="11" s="1"/>
  <c r="V17" i="19" s="1"/>
  <c r="Y27" i="11"/>
  <c r="Y31" i="11" s="1"/>
  <c r="Y17" i="19" s="1"/>
  <c r="AC23" i="11"/>
  <c r="V13" i="13"/>
  <c r="Y36" i="13"/>
  <c r="Y40" i="13" s="1"/>
  <c r="Y19" i="19" s="1"/>
  <c r="AD25" i="15"/>
  <c r="AD29" i="15" s="1"/>
  <c r="AD20" i="19" s="1"/>
  <c r="X57" i="6"/>
  <c r="X63" i="6"/>
  <c r="AC63" i="6"/>
  <c r="AC15" i="8"/>
  <c r="AC10" i="19" s="1"/>
  <c r="O13" i="8"/>
  <c r="O15" i="8" s="1"/>
  <c r="V22" i="3"/>
  <c r="AC13" i="3"/>
  <c r="V13" i="3"/>
  <c r="Z22" i="3"/>
  <c r="Z26" i="3" s="1"/>
  <c r="Z30" i="3" s="1"/>
  <c r="Z13" i="19" s="1"/>
  <c r="Y26" i="3"/>
  <c r="Y30" i="3" s="1"/>
  <c r="Y13" i="19" s="1"/>
  <c r="AD26" i="3"/>
  <c r="AD30" i="3" s="1"/>
  <c r="AD13" i="19" s="1"/>
  <c r="W26" i="3"/>
  <c r="W30" i="3" s="1"/>
  <c r="W13" i="19" s="1"/>
  <c r="AE15" i="8"/>
  <c r="AE10" i="19" s="1"/>
  <c r="AE25" i="13"/>
  <c r="Z23" i="15"/>
  <c r="AC22" i="3"/>
  <c r="X22" i="3"/>
  <c r="X13" i="12"/>
  <c r="AC26" i="9"/>
  <c r="AE22" i="1"/>
  <c r="Z13" i="15"/>
  <c r="Y27" i="16"/>
  <c r="Y31" i="16" s="1"/>
  <c r="Y22" i="19" s="1"/>
  <c r="X25" i="13"/>
  <c r="W24" i="1"/>
  <c r="W28" i="1" s="1"/>
  <c r="W11" i="19" s="1"/>
  <c r="X13" i="11"/>
  <c r="X23" i="11"/>
  <c r="AC10" i="14"/>
  <c r="AC14" i="14" s="1"/>
  <c r="AC21" i="19" s="1"/>
  <c r="X23" i="21"/>
  <c r="V9" i="2"/>
  <c r="V13" i="2" s="1"/>
  <c r="V12" i="19" s="1"/>
  <c r="O11" i="21"/>
  <c r="O11" i="12"/>
  <c r="AD36" i="13"/>
  <c r="AD40" i="13" s="1"/>
  <c r="AD19" i="19" s="1"/>
  <c r="Z13" i="16"/>
  <c r="Z27" i="16" s="1"/>
  <c r="Z31" i="16" s="1"/>
  <c r="Z22" i="19" s="1"/>
  <c r="AE23" i="15"/>
  <c r="AC23" i="16"/>
  <c r="AC25" i="13"/>
  <c r="V23" i="15"/>
  <c r="W36" i="13"/>
  <c r="W40" i="13" s="1"/>
  <c r="W19" i="19" s="1"/>
  <c r="W27" i="11"/>
  <c r="W31" i="11" s="1"/>
  <c r="W17" i="19" s="1"/>
  <c r="Z32" i="13"/>
  <c r="F8" i="22"/>
  <c r="Z7" i="2"/>
  <c r="Z9" i="2" s="1"/>
  <c r="Z13" i="2" s="1"/>
  <c r="Z12" i="19" s="1"/>
  <c r="X13" i="3"/>
  <c r="AC13" i="4"/>
  <c r="Z13" i="1"/>
  <c r="AC22" i="1"/>
  <c r="AC22" i="4"/>
  <c r="AC13" i="21"/>
  <c r="AC13" i="12"/>
  <c r="AC13" i="16"/>
  <c r="X13" i="15"/>
  <c r="AE10" i="14"/>
  <c r="AE14" i="14" s="1"/>
  <c r="AE21" i="19" s="1"/>
  <c r="AC23" i="21"/>
  <c r="O9" i="2"/>
  <c r="O11" i="3"/>
  <c r="O11" i="15"/>
  <c r="X32" i="13"/>
  <c r="V25" i="13"/>
  <c r="V32" i="13"/>
  <c r="AC23" i="15"/>
  <c r="F12" i="22"/>
  <c r="W26" i="4"/>
  <c r="W30" i="4" s="1"/>
  <c r="W14" i="19" s="1"/>
  <c r="F13" i="22"/>
  <c r="F15" i="22"/>
  <c r="O27" i="15"/>
  <c r="O28" i="3"/>
  <c r="T15" i="22"/>
  <c r="O12" i="14"/>
  <c r="O14" i="14" s="1"/>
  <c r="O29" i="21"/>
  <c r="O31" i="12"/>
  <c r="F19" i="22"/>
  <c r="I15" i="22"/>
  <c r="Z43" i="6"/>
  <c r="Z57" i="6"/>
  <c r="Z22" i="1"/>
  <c r="Z13" i="11"/>
  <c r="Z13" i="9"/>
  <c r="V13" i="1"/>
  <c r="Z23" i="21"/>
  <c r="Z23" i="11"/>
  <c r="Z13" i="12"/>
  <c r="Z13" i="13"/>
  <c r="AE43" i="6"/>
  <c r="Z63" i="6"/>
  <c r="W25" i="15"/>
  <c r="W29" i="15" s="1"/>
  <c r="W20" i="19" s="1"/>
  <c r="W30" i="9"/>
  <c r="W34" i="9" s="1"/>
  <c r="W15" i="19" s="1"/>
  <c r="AB27" i="11"/>
  <c r="AB31" i="11" s="1"/>
  <c r="AB17" i="19" s="1"/>
  <c r="AB30" i="9"/>
  <c r="AB34" i="9" s="1"/>
  <c r="AB15" i="19" s="1"/>
  <c r="AB26" i="3"/>
  <c r="AB30" i="3" s="1"/>
  <c r="AB13" i="19" s="1"/>
  <c r="AB65" i="6"/>
  <c r="AB69" i="6" s="1"/>
  <c r="AB9" i="19" s="1"/>
  <c r="AC13" i="1"/>
  <c r="AE13" i="21"/>
  <c r="AE14" i="6"/>
  <c r="F9" i="22"/>
  <c r="I13" i="22"/>
  <c r="AB25" i="15"/>
  <c r="AB29" i="15" s="1"/>
  <c r="AB20" i="19" s="1"/>
  <c r="AE22" i="4"/>
  <c r="AE26" i="9"/>
  <c r="W27" i="16"/>
  <c r="W31" i="16" s="1"/>
  <c r="W22" i="19" s="1"/>
  <c r="P15" i="8"/>
  <c r="AB27" i="16"/>
  <c r="AB31" i="16" s="1"/>
  <c r="AB22" i="19" s="1"/>
  <c r="AB33" i="12"/>
  <c r="AB18" i="19" s="1"/>
  <c r="AB27" i="21"/>
  <c r="AB31" i="21" s="1"/>
  <c r="AB16" i="19" s="1"/>
  <c r="AB26" i="4"/>
  <c r="AB30" i="4" s="1"/>
  <c r="AB14" i="19" s="1"/>
  <c r="I28" i="20"/>
  <c r="F18" i="22"/>
  <c r="T14" i="22"/>
  <c r="P13" i="2"/>
  <c r="P12" i="19" s="1"/>
  <c r="O12" i="19" s="1"/>
  <c r="O38" i="13"/>
  <c r="I14" i="22"/>
  <c r="H12" i="14"/>
  <c r="H14" i="14" s="1"/>
  <c r="I14" i="14"/>
  <c r="I21" i="19" s="1"/>
  <c r="H9" i="15"/>
  <c r="O76" i="20"/>
  <c r="AE13" i="3"/>
  <c r="T12" i="22"/>
  <c r="I12" i="22"/>
  <c r="I17" i="22"/>
  <c r="AE23" i="21"/>
  <c r="Z25" i="13"/>
  <c r="AE63" i="6"/>
  <c r="AE8" i="1"/>
  <c r="AE13" i="1" s="1"/>
  <c r="AE23" i="16"/>
  <c r="Z32" i="6"/>
  <c r="AE25" i="6"/>
  <c r="AE57" i="6"/>
  <c r="Z25" i="6"/>
  <c r="U11" i="22"/>
  <c r="T13" i="22"/>
  <c r="U16" i="22"/>
  <c r="P14" i="14"/>
  <c r="P21" i="19" s="1"/>
  <c r="O21" i="19" s="1"/>
  <c r="T9" i="22"/>
  <c r="P20" i="9"/>
  <c r="T18" i="22"/>
  <c r="O28" i="4"/>
  <c r="F11" i="22"/>
  <c r="F16" i="22"/>
  <c r="I19" i="22"/>
  <c r="T11" i="22"/>
  <c r="U19" i="22"/>
  <c r="I18" i="22"/>
  <c r="O32" i="9"/>
  <c r="S19" i="11"/>
  <c r="S18" i="11"/>
  <c r="S10" i="11"/>
  <c r="S17" i="11"/>
  <c r="O16" i="16"/>
  <c r="H38" i="20"/>
  <c r="W74" i="20"/>
  <c r="W78" i="20" s="1"/>
  <c r="W8" i="19" s="1"/>
  <c r="AB74" i="20"/>
  <c r="AB78" i="20" s="1"/>
  <c r="AB8" i="19" s="1"/>
  <c r="X28" i="20"/>
  <c r="V35" i="20"/>
  <c r="Y74" i="20"/>
  <c r="Y78" i="20" s="1"/>
  <c r="Y8" i="19" s="1"/>
  <c r="O15" i="20"/>
  <c r="O60" i="20"/>
  <c r="O72" i="20"/>
  <c r="V15" i="20"/>
  <c r="V60" i="20"/>
  <c r="AD74" i="20"/>
  <c r="AD78" i="20" s="1"/>
  <c r="AD8" i="19" s="1"/>
  <c r="AE72" i="20"/>
  <c r="AE60" i="20"/>
  <c r="Z15" i="20"/>
  <c r="AC15" i="20"/>
  <c r="X72" i="20"/>
  <c r="O35" i="20"/>
  <c r="V28" i="20"/>
  <c r="V47" i="20"/>
  <c r="V72" i="20"/>
  <c r="Z60" i="20"/>
  <c r="AE35" i="20"/>
  <c r="AE47" i="20"/>
  <c r="Z35" i="20"/>
  <c r="Z47" i="20"/>
  <c r="AE28" i="20"/>
  <c r="AE15" i="20"/>
  <c r="Z72" i="20"/>
  <c r="Z28" i="20"/>
  <c r="AC60" i="20"/>
  <c r="X60" i="20"/>
  <c r="AC35" i="20"/>
  <c r="AC47" i="20"/>
  <c r="X15" i="20"/>
  <c r="AC72" i="20"/>
  <c r="AC28" i="20"/>
  <c r="X35" i="20"/>
  <c r="X47" i="20"/>
  <c r="S20" i="9" l="1"/>
  <c r="Q20" i="9"/>
  <c r="O13" i="22"/>
  <c r="O11" i="22"/>
  <c r="O17" i="22"/>
  <c r="O6" i="22"/>
  <c r="O13" i="2"/>
  <c r="O8" i="22"/>
  <c r="O19" i="22"/>
  <c r="N16" i="22"/>
  <c r="S24" i="20"/>
  <c r="S28" i="20" s="1"/>
  <c r="T16" i="22"/>
  <c r="T22" i="22" s="1"/>
  <c r="D12" i="14"/>
  <c r="D14" i="14" s="1"/>
  <c r="D21" i="19" s="1"/>
  <c r="D38" i="13"/>
  <c r="J38" i="13"/>
  <c r="K38" i="13" s="1"/>
  <c r="K40" i="13" s="1"/>
  <c r="K19" i="19" s="1"/>
  <c r="D11" i="2"/>
  <c r="D13" i="2" s="1"/>
  <c r="D12" i="19" s="1"/>
  <c r="J69" i="6"/>
  <c r="D29" i="21"/>
  <c r="O9" i="3"/>
  <c r="O10" i="9"/>
  <c r="H16" i="16"/>
  <c r="H9" i="1"/>
  <c r="O9" i="1"/>
  <c r="O20" i="12"/>
  <c r="O24" i="20"/>
  <c r="O28" i="20" s="1"/>
  <c r="O9" i="15"/>
  <c r="O9" i="11"/>
  <c r="O16" i="4"/>
  <c r="H20" i="12"/>
  <c r="D26" i="1"/>
  <c r="P28" i="20"/>
  <c r="O10" i="13"/>
  <c r="K11" i="2"/>
  <c r="K13" i="2" s="1"/>
  <c r="K12" i="19" s="1"/>
  <c r="J13" i="2"/>
  <c r="D18" i="20"/>
  <c r="D28" i="20" s="1"/>
  <c r="E28" i="20"/>
  <c r="D50" i="20"/>
  <c r="D60" i="20" s="1"/>
  <c r="E60" i="20"/>
  <c r="K27" i="15"/>
  <c r="K29" i="15" s="1"/>
  <c r="K20" i="19" s="1"/>
  <c r="J29" i="15"/>
  <c r="K31" i="12"/>
  <c r="K33" i="12" s="1"/>
  <c r="K18" i="19" s="1"/>
  <c r="J33" i="12"/>
  <c r="K32" i="9"/>
  <c r="K34" i="9" s="1"/>
  <c r="K15" i="19" s="1"/>
  <c r="J34" i="9"/>
  <c r="D31" i="20"/>
  <c r="D35" i="20" s="1"/>
  <c r="E35" i="20"/>
  <c r="K29" i="11"/>
  <c r="K31" i="11" s="1"/>
  <c r="J31" i="11"/>
  <c r="K28" i="4"/>
  <c r="K30" i="4" s="1"/>
  <c r="K14" i="19" s="1"/>
  <c r="J30" i="4"/>
  <c r="K29" i="21"/>
  <c r="K31" i="21" s="1"/>
  <c r="K16" i="19" s="1"/>
  <c r="J31" i="21"/>
  <c r="E72" i="20"/>
  <c r="D65" i="20"/>
  <c r="D72" i="20" s="1"/>
  <c r="K28" i="3"/>
  <c r="K30" i="3" s="1"/>
  <c r="K13" i="19" s="1"/>
  <c r="J30" i="3"/>
  <c r="K12" i="14"/>
  <c r="K14" i="14" s="1"/>
  <c r="K21" i="19" s="1"/>
  <c r="J14" i="14"/>
  <c r="O9" i="6"/>
  <c r="H21" i="19"/>
  <c r="J21" i="19"/>
  <c r="H9" i="6"/>
  <c r="E47" i="20"/>
  <c r="D38" i="20"/>
  <c r="D47" i="20" s="1"/>
  <c r="K29" i="16"/>
  <c r="K31" i="16" s="1"/>
  <c r="K22" i="19" s="1"/>
  <c r="J31" i="16"/>
  <c r="J76" i="20"/>
  <c r="K76" i="20" s="1"/>
  <c r="K78" i="20" s="1"/>
  <c r="K8" i="19" s="1"/>
  <c r="D76" i="20"/>
  <c r="S10" i="13"/>
  <c r="S16" i="4"/>
  <c r="E43" i="6"/>
  <c r="D36" i="6"/>
  <c r="D43" i="6" s="1"/>
  <c r="E25" i="6"/>
  <c r="D19" i="6"/>
  <c r="D25" i="6" s="1"/>
  <c r="D9" i="6"/>
  <c r="D14" i="6" s="1"/>
  <c r="E14" i="6"/>
  <c r="E57" i="6"/>
  <c r="D47" i="6"/>
  <c r="D57" i="6" s="1"/>
  <c r="L67" i="6"/>
  <c r="L69" i="6" s="1"/>
  <c r="S19" i="21"/>
  <c r="O19" i="21"/>
  <c r="D9" i="13"/>
  <c r="D13" i="13" s="1"/>
  <c r="E13" i="13"/>
  <c r="D9" i="9"/>
  <c r="D13" i="9" s="1"/>
  <c r="E13" i="9"/>
  <c r="D16" i="21"/>
  <c r="D23" i="21" s="1"/>
  <c r="E23" i="21"/>
  <c r="O10" i="3"/>
  <c r="S10" i="3"/>
  <c r="D9" i="4"/>
  <c r="D13" i="4" s="1"/>
  <c r="E13" i="4"/>
  <c r="E13" i="15"/>
  <c r="D9" i="15"/>
  <c r="D13" i="15" s="1"/>
  <c r="D16" i="15"/>
  <c r="D23" i="15" s="1"/>
  <c r="E23" i="15"/>
  <c r="E22" i="1"/>
  <c r="D16" i="1"/>
  <c r="D22" i="1" s="1"/>
  <c r="E25" i="13"/>
  <c r="D17" i="13"/>
  <c r="D25" i="13" s="1"/>
  <c r="D17" i="12"/>
  <c r="D25" i="12" s="1"/>
  <c r="E25" i="12"/>
  <c r="D9" i="1"/>
  <c r="D13" i="1" s="1"/>
  <c r="E13" i="1"/>
  <c r="E13" i="21"/>
  <c r="D9" i="21"/>
  <c r="D13" i="21" s="1"/>
  <c r="E23" i="11"/>
  <c r="D16" i="11"/>
  <c r="D23" i="11" s="1"/>
  <c r="E22" i="4"/>
  <c r="D16" i="4"/>
  <c r="D22" i="4" s="1"/>
  <c r="E26" i="9"/>
  <c r="D18" i="9"/>
  <c r="D26" i="9" s="1"/>
  <c r="D16" i="3"/>
  <c r="D22" i="3" s="1"/>
  <c r="E22" i="3"/>
  <c r="E23" i="16"/>
  <c r="D16" i="16"/>
  <c r="D23" i="16" s="1"/>
  <c r="E13" i="11"/>
  <c r="D10" i="11"/>
  <c r="D13" i="11" s="1"/>
  <c r="L26" i="1"/>
  <c r="L28" i="1" s="1"/>
  <c r="J28" i="1"/>
  <c r="AC36" i="13"/>
  <c r="AC40" i="13" s="1"/>
  <c r="AC19" i="19" s="1"/>
  <c r="V29" i="12"/>
  <c r="AE30" i="9"/>
  <c r="AE34" i="9" s="1"/>
  <c r="AE15" i="19" s="1"/>
  <c r="V26" i="4"/>
  <c r="V30" i="4" s="1"/>
  <c r="V14" i="19" s="1"/>
  <c r="X26" i="4"/>
  <c r="X30" i="4" s="1"/>
  <c r="X14" i="19" s="1"/>
  <c r="Z26" i="4"/>
  <c r="Z30" i="4" s="1"/>
  <c r="Z14" i="19" s="1"/>
  <c r="V24" i="1"/>
  <c r="V28" i="1" s="1"/>
  <c r="V11" i="19" s="1"/>
  <c r="X30" i="9"/>
  <c r="X34" i="9" s="1"/>
  <c r="X15" i="19" s="1"/>
  <c r="V25" i="15"/>
  <c r="V29" i="15" s="1"/>
  <c r="V20" i="19" s="1"/>
  <c r="AE25" i="15"/>
  <c r="AE29" i="15" s="1"/>
  <c r="AE20" i="19" s="1"/>
  <c r="X27" i="21"/>
  <c r="X31" i="21" s="1"/>
  <c r="X16" i="19" s="1"/>
  <c r="AC29" i="12"/>
  <c r="AC33" i="12" s="1"/>
  <c r="AC18" i="19" s="1"/>
  <c r="X29" i="12"/>
  <c r="AE29" i="12"/>
  <c r="AE33" i="12" s="1"/>
  <c r="AE18" i="19" s="1"/>
  <c r="Z29" i="12"/>
  <c r="X26" i="3"/>
  <c r="X30" i="3" s="1"/>
  <c r="X13" i="19" s="1"/>
  <c r="AE26" i="4"/>
  <c r="AE30" i="4" s="1"/>
  <c r="AE14" i="19" s="1"/>
  <c r="Z27" i="21"/>
  <c r="Z31" i="21" s="1"/>
  <c r="Z16" i="19" s="1"/>
  <c r="AC25" i="15"/>
  <c r="AC29" i="15" s="1"/>
  <c r="AC20" i="19" s="1"/>
  <c r="X25" i="15"/>
  <c r="X29" i="15" s="1"/>
  <c r="X20" i="19" s="1"/>
  <c r="S21" i="16"/>
  <c r="S21" i="15"/>
  <c r="O20" i="3"/>
  <c r="S21" i="21"/>
  <c r="H20" i="1"/>
  <c r="P23" i="11"/>
  <c r="H23" i="13"/>
  <c r="S22" i="12"/>
  <c r="O24" i="9"/>
  <c r="O15" i="22"/>
  <c r="O12" i="22"/>
  <c r="O9" i="22"/>
  <c r="H29" i="16"/>
  <c r="H27" i="15"/>
  <c r="H38" i="13"/>
  <c r="H31" i="12"/>
  <c r="H29" i="11"/>
  <c r="H29" i="21"/>
  <c r="H32" i="9"/>
  <c r="H28" i="4"/>
  <c r="H28" i="3"/>
  <c r="H26" i="1"/>
  <c r="H67" i="6"/>
  <c r="H76" i="20"/>
  <c r="V26" i="3"/>
  <c r="V30" i="3" s="1"/>
  <c r="V13" i="19" s="1"/>
  <c r="S11" i="2"/>
  <c r="S13" i="2" s="1"/>
  <c r="S12" i="19" s="1"/>
  <c r="Q13" i="2"/>
  <c r="Q12" i="19" s="1"/>
  <c r="AE36" i="13"/>
  <c r="AE40" i="13" s="1"/>
  <c r="AE19" i="19" s="1"/>
  <c r="S13" i="8"/>
  <c r="S15" i="8" s="1"/>
  <c r="S10" i="19" s="1"/>
  <c r="Q15" i="8"/>
  <c r="Q10" i="19" s="1"/>
  <c r="X24" i="1"/>
  <c r="X28" i="1" s="1"/>
  <c r="X11" i="19" s="1"/>
  <c r="V65" i="6"/>
  <c r="V69" i="6" s="1"/>
  <c r="V9" i="19" s="1"/>
  <c r="S12" i="14"/>
  <c r="S14" i="14" s="1"/>
  <c r="S21" i="19" s="1"/>
  <c r="Q14" i="14"/>
  <c r="Q21" i="19" s="1"/>
  <c r="S18" i="9"/>
  <c r="H18" i="16"/>
  <c r="S18" i="16"/>
  <c r="I13" i="15"/>
  <c r="H18" i="13"/>
  <c r="S18" i="13"/>
  <c r="S17" i="4"/>
  <c r="H19" i="15"/>
  <c r="S19" i="15"/>
  <c r="S16" i="9"/>
  <c r="H20" i="15"/>
  <c r="S20" i="15"/>
  <c r="H16" i="15"/>
  <c r="Q13" i="11"/>
  <c r="H18" i="21"/>
  <c r="S18" i="21"/>
  <c r="S9" i="21"/>
  <c r="H18" i="4"/>
  <c r="S18" i="4"/>
  <c r="H19" i="16"/>
  <c r="S19" i="16"/>
  <c r="S16" i="13"/>
  <c r="H17" i="15"/>
  <c r="S17" i="15"/>
  <c r="H19" i="12"/>
  <c r="S19" i="12"/>
  <c r="H20" i="13"/>
  <c r="S20" i="13"/>
  <c r="H18" i="12"/>
  <c r="S18" i="12"/>
  <c r="H17" i="21"/>
  <c r="S17" i="21"/>
  <c r="H10" i="4"/>
  <c r="S10" i="4"/>
  <c r="H18" i="15"/>
  <c r="S18" i="15"/>
  <c r="H19" i="13"/>
  <c r="S19" i="13"/>
  <c r="H17" i="9"/>
  <c r="S17" i="9"/>
  <c r="H10" i="21"/>
  <c r="S10" i="21"/>
  <c r="H17" i="16"/>
  <c r="H17" i="13"/>
  <c r="S17" i="13"/>
  <c r="S16" i="21"/>
  <c r="S9" i="4"/>
  <c r="S9" i="16"/>
  <c r="S13" i="16" s="1"/>
  <c r="Q13" i="16"/>
  <c r="I13" i="9"/>
  <c r="S16" i="11"/>
  <c r="H10" i="12"/>
  <c r="S10" i="12"/>
  <c r="S9" i="13"/>
  <c r="S13" i="11"/>
  <c r="H17" i="3"/>
  <c r="S17" i="3"/>
  <c r="S18" i="3"/>
  <c r="H16" i="3"/>
  <c r="S9" i="3"/>
  <c r="H19" i="3"/>
  <c r="S19" i="3"/>
  <c r="I13" i="1"/>
  <c r="H17" i="1"/>
  <c r="S17" i="1"/>
  <c r="Z24" i="1"/>
  <c r="Z28" i="1" s="1"/>
  <c r="Z11" i="19" s="1"/>
  <c r="H19" i="1"/>
  <c r="S19" i="1"/>
  <c r="H16" i="1"/>
  <c r="H18" i="1"/>
  <c r="S18" i="1"/>
  <c r="H52" i="6"/>
  <c r="S52" i="6"/>
  <c r="H11" i="6"/>
  <c r="Q11" i="6"/>
  <c r="H50" i="6"/>
  <c r="S50" i="6"/>
  <c r="H48" i="6"/>
  <c r="S48" i="6"/>
  <c r="H10" i="6"/>
  <c r="Q10" i="6"/>
  <c r="S10" i="6" s="1"/>
  <c r="X36" i="13"/>
  <c r="X40" i="13" s="1"/>
  <c r="X19" i="19" s="1"/>
  <c r="X27" i="11"/>
  <c r="X31" i="11" s="1"/>
  <c r="X17" i="19" s="1"/>
  <c r="Z25" i="15"/>
  <c r="Z29" i="15" s="1"/>
  <c r="Z20" i="19" s="1"/>
  <c r="X33" i="12"/>
  <c r="X18" i="19" s="1"/>
  <c r="S17" i="6"/>
  <c r="H47" i="6"/>
  <c r="H49" i="6"/>
  <c r="S49" i="6"/>
  <c r="I47" i="20"/>
  <c r="I74" i="20" s="1"/>
  <c r="I25" i="6"/>
  <c r="S19" i="6"/>
  <c r="S36" i="6"/>
  <c r="S43" i="6" s="1"/>
  <c r="Q43" i="6"/>
  <c r="V33" i="12"/>
  <c r="V18" i="19" s="1"/>
  <c r="X65" i="6"/>
  <c r="X69" i="6" s="1"/>
  <c r="X9" i="19" s="1"/>
  <c r="Z36" i="13"/>
  <c r="Z40" i="13" s="1"/>
  <c r="Z19" i="19" s="1"/>
  <c r="AC65" i="6"/>
  <c r="AC69" i="6" s="1"/>
  <c r="AC9" i="19" s="1"/>
  <c r="V27" i="16"/>
  <c r="V31" i="16" s="1"/>
  <c r="V22" i="19" s="1"/>
  <c r="V27" i="21"/>
  <c r="V31" i="21" s="1"/>
  <c r="V16" i="19" s="1"/>
  <c r="O18" i="1"/>
  <c r="AE27" i="16"/>
  <c r="AE31" i="16" s="1"/>
  <c r="AE22" i="19" s="1"/>
  <c r="V36" i="13"/>
  <c r="V40" i="13" s="1"/>
  <c r="V19" i="19" s="1"/>
  <c r="AE24" i="1"/>
  <c r="AE28" i="1" s="1"/>
  <c r="AE11" i="19" s="1"/>
  <c r="AC27" i="16"/>
  <c r="AC31" i="16" s="1"/>
  <c r="AC22" i="19" s="1"/>
  <c r="AC30" i="9"/>
  <c r="AC34" i="9" s="1"/>
  <c r="AC15" i="19" s="1"/>
  <c r="V30" i="9"/>
  <c r="V34" i="9" s="1"/>
  <c r="V15" i="19" s="1"/>
  <c r="Z65" i="6"/>
  <c r="Z69" i="6" s="1"/>
  <c r="Z9" i="19" s="1"/>
  <c r="AE26" i="3"/>
  <c r="AE30" i="3" s="1"/>
  <c r="AE13" i="19" s="1"/>
  <c r="AC26" i="3"/>
  <c r="AC30" i="3" s="1"/>
  <c r="AC13" i="19" s="1"/>
  <c r="AC27" i="11"/>
  <c r="AC31" i="11" s="1"/>
  <c r="AC17" i="19" s="1"/>
  <c r="X27" i="16"/>
  <c r="X31" i="16" s="1"/>
  <c r="X22" i="19" s="1"/>
  <c r="Y24" i="19"/>
  <c r="AD24" i="19"/>
  <c r="AE27" i="21"/>
  <c r="AE31" i="21" s="1"/>
  <c r="AE16" i="19" s="1"/>
  <c r="AC24" i="1"/>
  <c r="AC28" i="1" s="1"/>
  <c r="AC11" i="19" s="1"/>
  <c r="Z30" i="9"/>
  <c r="Z34" i="9" s="1"/>
  <c r="Z15" i="19" s="1"/>
  <c r="Z33" i="12"/>
  <c r="Z18" i="19" s="1"/>
  <c r="AC27" i="21"/>
  <c r="AC31" i="21" s="1"/>
  <c r="AC16" i="19" s="1"/>
  <c r="AC26" i="4"/>
  <c r="AC30" i="4" s="1"/>
  <c r="AC14" i="19" s="1"/>
  <c r="W24" i="19"/>
  <c r="P13" i="1"/>
  <c r="O20" i="13"/>
  <c r="O18" i="12"/>
  <c r="AB24" i="19"/>
  <c r="F22" i="22"/>
  <c r="P10" i="19"/>
  <c r="Z27" i="11"/>
  <c r="Z31" i="11" s="1"/>
  <c r="Z17" i="19" s="1"/>
  <c r="O9" i="9"/>
  <c r="O13" i="9" s="1"/>
  <c r="H16" i="9"/>
  <c r="H10" i="11"/>
  <c r="H19" i="11"/>
  <c r="H28" i="20"/>
  <c r="H18" i="11"/>
  <c r="H17" i="11"/>
  <c r="I13" i="13"/>
  <c r="I13" i="16"/>
  <c r="O9" i="13"/>
  <c r="I43" i="6"/>
  <c r="H9" i="21"/>
  <c r="P13" i="13"/>
  <c r="O16" i="13"/>
  <c r="P13" i="12"/>
  <c r="I13" i="3"/>
  <c r="H9" i="11"/>
  <c r="H11" i="2"/>
  <c r="H13" i="2" s="1"/>
  <c r="I13" i="2"/>
  <c r="I12" i="19" s="1"/>
  <c r="O9" i="12"/>
  <c r="O17" i="12"/>
  <c r="O16" i="1"/>
  <c r="O19" i="1"/>
  <c r="O10" i="1"/>
  <c r="H10" i="1"/>
  <c r="O17" i="1"/>
  <c r="O18" i="3"/>
  <c r="H18" i="3"/>
  <c r="O16" i="3"/>
  <c r="O19" i="3"/>
  <c r="O17" i="3"/>
  <c r="P13" i="3"/>
  <c r="O18" i="4"/>
  <c r="O10" i="4"/>
  <c r="O17" i="4"/>
  <c r="H17" i="4"/>
  <c r="O19" i="4"/>
  <c r="O18" i="9"/>
  <c r="H18" i="9"/>
  <c r="O16" i="9"/>
  <c r="O17" i="9"/>
  <c r="O20" i="9"/>
  <c r="H20" i="9"/>
  <c r="P13" i="9"/>
  <c r="I22" i="22"/>
  <c r="O18" i="21"/>
  <c r="O17" i="21"/>
  <c r="O10" i="21"/>
  <c r="O17" i="11"/>
  <c r="O19" i="11"/>
  <c r="O16" i="11"/>
  <c r="O18" i="11"/>
  <c r="O19" i="12"/>
  <c r="O10" i="12"/>
  <c r="O18" i="13"/>
  <c r="O17" i="13"/>
  <c r="O19" i="13"/>
  <c r="O19" i="15"/>
  <c r="O16" i="15"/>
  <c r="O8" i="15"/>
  <c r="O18" i="15"/>
  <c r="P13" i="15"/>
  <c r="O20" i="15"/>
  <c r="O17" i="15"/>
  <c r="O17" i="16"/>
  <c r="O18" i="16"/>
  <c r="O19" i="16"/>
  <c r="P25" i="6"/>
  <c r="O11" i="6"/>
  <c r="O49" i="6"/>
  <c r="O50" i="6"/>
  <c r="O47" i="6"/>
  <c r="O48" i="6"/>
  <c r="O52" i="6"/>
  <c r="O10" i="6"/>
  <c r="P47" i="20"/>
  <c r="P14" i="6"/>
  <c r="U22" i="22"/>
  <c r="U23" i="22" s="1"/>
  <c r="AE65" i="6"/>
  <c r="AE69" i="6" s="1"/>
  <c r="AE9" i="19" s="1"/>
  <c r="O38" i="20"/>
  <c r="O47" i="20" s="1"/>
  <c r="O19" i="6"/>
  <c r="O25" i="6" s="1"/>
  <c r="P13" i="11"/>
  <c r="O10" i="11"/>
  <c r="O36" i="6"/>
  <c r="O43" i="6" s="1"/>
  <c r="P43" i="6"/>
  <c r="O16" i="21"/>
  <c r="O9" i="4"/>
  <c r="P13" i="4"/>
  <c r="O9" i="21"/>
  <c r="P13" i="21"/>
  <c r="O9" i="16"/>
  <c r="O13" i="16" s="1"/>
  <c r="P13" i="16"/>
  <c r="V74" i="20"/>
  <c r="V78" i="20" s="1"/>
  <c r="V8" i="19" s="1"/>
  <c r="Z74" i="20"/>
  <c r="Z78" i="20" s="1"/>
  <c r="Z8" i="19" s="1"/>
  <c r="AC74" i="20"/>
  <c r="AC78" i="20" s="1"/>
  <c r="AC8" i="19" s="1"/>
  <c r="X74" i="20"/>
  <c r="X78" i="20" s="1"/>
  <c r="X8" i="19" s="1"/>
  <c r="AE74" i="20"/>
  <c r="AE78" i="20" s="1"/>
  <c r="AE8" i="19" s="1"/>
  <c r="Q28" i="20" l="1"/>
  <c r="N22" i="22"/>
  <c r="O16" i="22"/>
  <c r="AG15" i="8"/>
  <c r="AG10" i="19" s="1"/>
  <c r="Q13" i="13"/>
  <c r="O13" i="3"/>
  <c r="S13" i="3"/>
  <c r="J40" i="13"/>
  <c r="L32" i="9"/>
  <c r="L34" i="9" s="1"/>
  <c r="O74" i="20"/>
  <c r="O78" i="20" s="1"/>
  <c r="L29" i="21"/>
  <c r="L31" i="21" s="1"/>
  <c r="L31" i="12"/>
  <c r="L33" i="12" s="1"/>
  <c r="L29" i="16"/>
  <c r="L31" i="16" s="1"/>
  <c r="O13" i="13"/>
  <c r="O13" i="1"/>
  <c r="L21" i="19"/>
  <c r="AH21" i="19" s="1"/>
  <c r="L12" i="14"/>
  <c r="L14" i="14" s="1"/>
  <c r="AG14" i="14" s="1"/>
  <c r="AG21" i="19" s="1"/>
  <c r="H10" i="19"/>
  <c r="O10" i="19"/>
  <c r="K17" i="19"/>
  <c r="O13" i="11"/>
  <c r="P74" i="20"/>
  <c r="P78" i="20" s="1"/>
  <c r="P8" i="19" s="1"/>
  <c r="O8" i="19" s="1"/>
  <c r="O13" i="15"/>
  <c r="Q13" i="3"/>
  <c r="L38" i="13"/>
  <c r="L40" i="13" s="1"/>
  <c r="L28" i="3"/>
  <c r="L30" i="3" s="1"/>
  <c r="L28" i="4"/>
  <c r="L30" i="4" s="1"/>
  <c r="D74" i="20"/>
  <c r="D78" i="20" s="1"/>
  <c r="D8" i="19" s="1"/>
  <c r="P23" i="21"/>
  <c r="P27" i="21" s="1"/>
  <c r="P31" i="21" s="1"/>
  <c r="S13" i="13"/>
  <c r="H12" i="19"/>
  <c r="J12" i="19"/>
  <c r="L12" i="19" s="1"/>
  <c r="L11" i="2"/>
  <c r="L13" i="2" s="1"/>
  <c r="AG13" i="2" s="1"/>
  <c r="AG12" i="19" s="1"/>
  <c r="L29" i="11"/>
  <c r="L31" i="11" s="1"/>
  <c r="L27" i="15"/>
  <c r="L29" i="15" s="1"/>
  <c r="E74" i="20"/>
  <c r="E78" i="20" s="1"/>
  <c r="E8" i="19" s="1"/>
  <c r="C8" i="19" s="1"/>
  <c r="I78" i="20"/>
  <c r="E65" i="6"/>
  <c r="E69" i="6" s="1"/>
  <c r="E9" i="19" s="1"/>
  <c r="C9" i="19" s="1"/>
  <c r="D65" i="6"/>
  <c r="D69" i="6" s="1"/>
  <c r="E27" i="11"/>
  <c r="E31" i="11" s="1"/>
  <c r="E17" i="19" s="1"/>
  <c r="C17" i="19" s="1"/>
  <c r="E27" i="21"/>
  <c r="E31" i="21" s="1"/>
  <c r="E16" i="19" s="1"/>
  <c r="C16" i="19" s="1"/>
  <c r="E25" i="15"/>
  <c r="E29" i="15" s="1"/>
  <c r="E20" i="19" s="1"/>
  <c r="C20" i="19" s="1"/>
  <c r="D27" i="11"/>
  <c r="D31" i="11" s="1"/>
  <c r="D30" i="9"/>
  <c r="D34" i="9" s="1"/>
  <c r="D27" i="21"/>
  <c r="D31" i="21" s="1"/>
  <c r="D25" i="15"/>
  <c r="D29" i="15" s="1"/>
  <c r="D24" i="1"/>
  <c r="D28" i="1" s="1"/>
  <c r="E26" i="4"/>
  <c r="E30" i="4" s="1"/>
  <c r="E14" i="19" s="1"/>
  <c r="C14" i="19" s="1"/>
  <c r="D26" i="4"/>
  <c r="D30" i="4" s="1"/>
  <c r="E36" i="13"/>
  <c r="E40" i="13" s="1"/>
  <c r="E19" i="19" s="1"/>
  <c r="C19" i="19" s="1"/>
  <c r="E24" i="1"/>
  <c r="E28" i="1" s="1"/>
  <c r="E11" i="19" s="1"/>
  <c r="C11" i="19" s="1"/>
  <c r="E30" i="9"/>
  <c r="E34" i="9" s="1"/>
  <c r="E15" i="19" s="1"/>
  <c r="C15" i="19" s="1"/>
  <c r="D36" i="13"/>
  <c r="D40" i="13" s="1"/>
  <c r="O22" i="4"/>
  <c r="O20" i="1"/>
  <c r="O22" i="1" s="1"/>
  <c r="O24" i="1" s="1"/>
  <c r="O28" i="1" s="1"/>
  <c r="P23" i="16"/>
  <c r="P27" i="16" s="1"/>
  <c r="P31" i="16" s="1"/>
  <c r="H13" i="1"/>
  <c r="H21" i="16"/>
  <c r="H23" i="16" s="1"/>
  <c r="P22" i="1"/>
  <c r="P24" i="1" s="1"/>
  <c r="P28" i="1" s="1"/>
  <c r="O21" i="16"/>
  <c r="O23" i="16" s="1"/>
  <c r="O27" i="16" s="1"/>
  <c r="O31" i="16" s="1"/>
  <c r="S20" i="1"/>
  <c r="P25" i="13"/>
  <c r="H20" i="3"/>
  <c r="H22" i="3" s="1"/>
  <c r="S23" i="13"/>
  <c r="S25" i="13" s="1"/>
  <c r="P22" i="3"/>
  <c r="P26" i="3" s="1"/>
  <c r="P30" i="3" s="1"/>
  <c r="O20" i="11"/>
  <c r="O23" i="11" s="1"/>
  <c r="P22" i="4"/>
  <c r="P26" i="4" s="1"/>
  <c r="P30" i="4" s="1"/>
  <c r="P26" i="9"/>
  <c r="P30" i="9" s="1"/>
  <c r="H24" i="9"/>
  <c r="H26" i="9" s="1"/>
  <c r="S24" i="9"/>
  <c r="S26" i="9" s="1"/>
  <c r="Q25" i="12"/>
  <c r="H17" i="12"/>
  <c r="I25" i="12"/>
  <c r="P25" i="12"/>
  <c r="P29" i="12" s="1"/>
  <c r="P33" i="12" s="1"/>
  <c r="H19" i="6"/>
  <c r="H25" i="6" s="1"/>
  <c r="S20" i="3"/>
  <c r="I23" i="21"/>
  <c r="O21" i="21"/>
  <c r="O23" i="21" s="1"/>
  <c r="O22" i="12"/>
  <c r="O25" i="12" s="1"/>
  <c r="H22" i="12"/>
  <c r="H8" i="15"/>
  <c r="H13" i="15" s="1"/>
  <c r="H21" i="15"/>
  <c r="H23" i="15" s="1"/>
  <c r="P23" i="15"/>
  <c r="P25" i="15" s="1"/>
  <c r="P29" i="15" s="1"/>
  <c r="O21" i="15"/>
  <c r="O23" i="15" s="1"/>
  <c r="H21" i="21"/>
  <c r="O23" i="13"/>
  <c r="O25" i="13" s="1"/>
  <c r="H20" i="11"/>
  <c r="O22" i="22"/>
  <c r="S55" i="6"/>
  <c r="H55" i="6"/>
  <c r="H57" i="6" s="1"/>
  <c r="O57" i="6"/>
  <c r="P57" i="6"/>
  <c r="H47" i="20"/>
  <c r="H74" i="20" s="1"/>
  <c r="H78" i="20" s="1"/>
  <c r="H9" i="9"/>
  <c r="H13" i="9" s="1"/>
  <c r="I22" i="4"/>
  <c r="I23" i="15"/>
  <c r="I25" i="15" s="1"/>
  <c r="I29" i="15" s="1"/>
  <c r="I20" i="19" s="1"/>
  <c r="I22" i="3"/>
  <c r="I26" i="3" s="1"/>
  <c r="I30" i="3" s="1"/>
  <c r="I13" i="19" s="1"/>
  <c r="Q13" i="4"/>
  <c r="S23" i="21"/>
  <c r="S13" i="21"/>
  <c r="I13" i="12"/>
  <c r="I29" i="12" s="1"/>
  <c r="I57" i="6"/>
  <c r="Q22" i="4"/>
  <c r="V24" i="19"/>
  <c r="I23" i="16"/>
  <c r="I27" i="16" s="1"/>
  <c r="I31" i="16" s="1"/>
  <c r="I22" i="19" s="1"/>
  <c r="S17" i="12"/>
  <c r="S25" i="12" s="1"/>
  <c r="S9" i="9"/>
  <c r="S13" i="9" s="1"/>
  <c r="Q13" i="9"/>
  <c r="Q23" i="16"/>
  <c r="Q27" i="16" s="1"/>
  <c r="Q31" i="16" s="1"/>
  <c r="S17" i="16"/>
  <c r="S23" i="16" s="1"/>
  <c r="S27" i="16" s="1"/>
  <c r="S31" i="16" s="1"/>
  <c r="S22" i="19" s="1"/>
  <c r="H19" i="4"/>
  <c r="H9" i="12"/>
  <c r="H13" i="12" s="1"/>
  <c r="I25" i="13"/>
  <c r="I36" i="13" s="1"/>
  <c r="I40" i="13" s="1"/>
  <c r="I19" i="19" s="1"/>
  <c r="I14" i="6"/>
  <c r="S13" i="4"/>
  <c r="Q23" i="21"/>
  <c r="Q23" i="15"/>
  <c r="S16" i="15"/>
  <c r="S23" i="15" s="1"/>
  <c r="S8" i="15"/>
  <c r="S13" i="15" s="1"/>
  <c r="Q13" i="15"/>
  <c r="S9" i="12"/>
  <c r="S13" i="12" s="1"/>
  <c r="Q13" i="12"/>
  <c r="I13" i="4"/>
  <c r="O13" i="12"/>
  <c r="I22" i="1"/>
  <c r="I24" i="1" s="1"/>
  <c r="I28" i="1" s="1"/>
  <c r="I11" i="19" s="1"/>
  <c r="S22" i="4"/>
  <c r="Q13" i="21"/>
  <c r="S16" i="3"/>
  <c r="S10" i="1"/>
  <c r="S13" i="1" s="1"/>
  <c r="Q13" i="1"/>
  <c r="S16" i="1"/>
  <c r="Q47" i="20"/>
  <c r="Q74" i="20" s="1"/>
  <c r="Q78" i="20" s="1"/>
  <c r="Q8" i="19" s="1"/>
  <c r="S38" i="20"/>
  <c r="S47" i="20" s="1"/>
  <c r="S74" i="20" s="1"/>
  <c r="S78" i="20" s="1"/>
  <c r="S8" i="19" s="1"/>
  <c r="S47" i="6"/>
  <c r="S11" i="6"/>
  <c r="S14" i="6" s="1"/>
  <c r="Q14" i="6"/>
  <c r="Q25" i="6"/>
  <c r="S25" i="6"/>
  <c r="AC24" i="19"/>
  <c r="X24" i="19"/>
  <c r="O14" i="6"/>
  <c r="Z24" i="19"/>
  <c r="I26" i="9"/>
  <c r="I30" i="9" s="1"/>
  <c r="I34" i="9" s="1"/>
  <c r="I15" i="19" s="1"/>
  <c r="H9" i="3"/>
  <c r="H13" i="3" s="1"/>
  <c r="H13" i="11"/>
  <c r="O26" i="9"/>
  <c r="O30" i="9" s="1"/>
  <c r="H36" i="6"/>
  <c r="H43" i="6" s="1"/>
  <c r="I23" i="11"/>
  <c r="I13" i="11"/>
  <c r="H16" i="11"/>
  <c r="O13" i="21"/>
  <c r="H9" i="4"/>
  <c r="H13" i="4" s="1"/>
  <c r="H9" i="13"/>
  <c r="H13" i="13" s="1"/>
  <c r="H16" i="13"/>
  <c r="H25" i="13" s="1"/>
  <c r="I13" i="21"/>
  <c r="AE24" i="19"/>
  <c r="O13" i="4"/>
  <c r="H13" i="21"/>
  <c r="H9" i="16"/>
  <c r="H13" i="16" s="1"/>
  <c r="H16" i="21"/>
  <c r="O22" i="3"/>
  <c r="H22" i="1"/>
  <c r="H14" i="6"/>
  <c r="P27" i="11"/>
  <c r="P31" i="11" s="1"/>
  <c r="AH10" i="19" l="1"/>
  <c r="AI10" i="19" s="1"/>
  <c r="O26" i="3"/>
  <c r="O30" i="3" s="1"/>
  <c r="AH12" i="19"/>
  <c r="AI12" i="19" s="1"/>
  <c r="D14" i="19"/>
  <c r="D15" i="19"/>
  <c r="D11" i="19"/>
  <c r="D17" i="19"/>
  <c r="D9" i="19"/>
  <c r="D19" i="19"/>
  <c r="D16" i="19"/>
  <c r="D20" i="19"/>
  <c r="O25" i="15"/>
  <c r="O29" i="15" s="1"/>
  <c r="P34" i="9"/>
  <c r="P15" i="19" s="1"/>
  <c r="O15" i="19" s="1"/>
  <c r="H23" i="11"/>
  <c r="H27" i="11" s="1"/>
  <c r="H31" i="11" s="1"/>
  <c r="Q26" i="9"/>
  <c r="Q30" i="9" s="1"/>
  <c r="Q34" i="9" s="1"/>
  <c r="O27" i="11"/>
  <c r="O31" i="11" s="1"/>
  <c r="J15" i="19"/>
  <c r="L15" i="19" s="1"/>
  <c r="J11" i="19"/>
  <c r="L11" i="19" s="1"/>
  <c r="J19" i="19"/>
  <c r="L19" i="19" s="1"/>
  <c r="J20" i="19"/>
  <c r="L20" i="19" s="1"/>
  <c r="J22" i="19"/>
  <c r="L22" i="19" s="1"/>
  <c r="J13" i="19"/>
  <c r="L13" i="19" s="1"/>
  <c r="I8" i="19"/>
  <c r="L76" i="20"/>
  <c r="L78" i="20" s="1"/>
  <c r="J78" i="20"/>
  <c r="K24" i="19" s="1"/>
  <c r="H24" i="1"/>
  <c r="H28" i="1" s="1"/>
  <c r="S22" i="1"/>
  <c r="S24" i="1" s="1"/>
  <c r="S28" i="1" s="1"/>
  <c r="Q22" i="1"/>
  <c r="Q24" i="1" s="1"/>
  <c r="Q28" i="1" s="1"/>
  <c r="Q22" i="3"/>
  <c r="Q26" i="3" s="1"/>
  <c r="Q30" i="3" s="1"/>
  <c r="Q13" i="19" s="1"/>
  <c r="Q25" i="13"/>
  <c r="S22" i="3"/>
  <c r="S26" i="3" s="1"/>
  <c r="S30" i="3" s="1"/>
  <c r="S13" i="19" s="1"/>
  <c r="Q29" i="12"/>
  <c r="Q33" i="12" s="1"/>
  <c r="Q18" i="19" s="1"/>
  <c r="H25" i="15"/>
  <c r="H29" i="15" s="1"/>
  <c r="H25" i="12"/>
  <c r="H29" i="12" s="1"/>
  <c r="H33" i="12" s="1"/>
  <c r="S29" i="12"/>
  <c r="S33" i="12" s="1"/>
  <c r="S18" i="19" s="1"/>
  <c r="O29" i="12"/>
  <c r="O33" i="12" s="1"/>
  <c r="H22" i="4"/>
  <c r="H26" i="4" s="1"/>
  <c r="H30" i="4" s="1"/>
  <c r="I27" i="21"/>
  <c r="I31" i="21" s="1"/>
  <c r="I16" i="19" s="1"/>
  <c r="H30" i="9"/>
  <c r="H34" i="9" s="1"/>
  <c r="H23" i="21"/>
  <c r="H27" i="21" s="1"/>
  <c r="H31" i="21" s="1"/>
  <c r="Q57" i="6"/>
  <c r="S20" i="11"/>
  <c r="S23" i="11" s="1"/>
  <c r="S27" i="11" s="1"/>
  <c r="S31" i="11" s="1"/>
  <c r="S17" i="19" s="1"/>
  <c r="Q23" i="11"/>
  <c r="Q27" i="11" s="1"/>
  <c r="Q31" i="11" s="1"/>
  <c r="Q17" i="19" s="1"/>
  <c r="AI21" i="19"/>
  <c r="Q25" i="15"/>
  <c r="Q29" i="15" s="1"/>
  <c r="Q20" i="19" s="1"/>
  <c r="S57" i="6"/>
  <c r="I26" i="4"/>
  <c r="I30" i="4" s="1"/>
  <c r="I14" i="19" s="1"/>
  <c r="I65" i="6"/>
  <c r="I69" i="6" s="1"/>
  <c r="I9" i="19" s="1"/>
  <c r="I33" i="12"/>
  <c r="I18" i="19" s="1"/>
  <c r="Q26" i="4"/>
  <c r="Q30" i="4" s="1"/>
  <c r="Q14" i="19" s="1"/>
  <c r="O26" i="4"/>
  <c r="O30" i="4" s="1"/>
  <c r="Q27" i="21"/>
  <c r="Q31" i="21" s="1"/>
  <c r="Q16" i="19" s="1"/>
  <c r="S30" i="9"/>
  <c r="S34" i="9" s="1"/>
  <c r="S15" i="19" s="1"/>
  <c r="S27" i="21"/>
  <c r="S31" i="21" s="1"/>
  <c r="S16" i="19" s="1"/>
  <c r="Q22" i="19"/>
  <c r="P22" i="19"/>
  <c r="P20" i="19"/>
  <c r="P16" i="19"/>
  <c r="O16" i="19" s="1"/>
  <c r="P13" i="19"/>
  <c r="O13" i="19" s="1"/>
  <c r="P18" i="19"/>
  <c r="O18" i="19" s="1"/>
  <c r="P11" i="19"/>
  <c r="P14" i="19"/>
  <c r="O14" i="19" s="1"/>
  <c r="S26" i="4"/>
  <c r="S30" i="4" s="1"/>
  <c r="S14" i="19" s="1"/>
  <c r="S25" i="15"/>
  <c r="S29" i="15" s="1"/>
  <c r="O34" i="9"/>
  <c r="H26" i="3"/>
  <c r="H30" i="3" s="1"/>
  <c r="H27" i="16"/>
  <c r="H31" i="16" s="1"/>
  <c r="O27" i="21"/>
  <c r="O31" i="21" s="1"/>
  <c r="I27" i="11"/>
  <c r="I31" i="11" s="1"/>
  <c r="I17" i="19" s="1"/>
  <c r="P17" i="19"/>
  <c r="O17" i="19" s="1"/>
  <c r="AG28" i="1" l="1"/>
  <c r="AG11" i="19" s="1"/>
  <c r="AG31" i="21"/>
  <c r="AG16" i="19" s="1"/>
  <c r="AG34" i="9"/>
  <c r="AG15" i="19" s="1"/>
  <c r="AG30" i="4"/>
  <c r="AG14" i="19" s="1"/>
  <c r="AG29" i="15"/>
  <c r="AG20" i="19" s="1"/>
  <c r="AG31" i="11"/>
  <c r="AG17" i="19" s="1"/>
  <c r="AG78" i="20"/>
  <c r="AG8" i="19" s="1"/>
  <c r="O20" i="19"/>
  <c r="H22" i="19"/>
  <c r="O22" i="19"/>
  <c r="H15" i="19"/>
  <c r="H13" i="19"/>
  <c r="O11" i="19"/>
  <c r="H8" i="19"/>
  <c r="J8" i="19"/>
  <c r="L8" i="19" s="1"/>
  <c r="H20" i="19"/>
  <c r="H17" i="19"/>
  <c r="J17" i="19"/>
  <c r="L17" i="19" s="1"/>
  <c r="J9" i="19"/>
  <c r="L9" i="19" s="1"/>
  <c r="J18" i="19"/>
  <c r="L18" i="19" s="1"/>
  <c r="H18" i="19"/>
  <c r="H16" i="19"/>
  <c r="J16" i="19"/>
  <c r="L16" i="19" s="1"/>
  <c r="J14" i="19"/>
  <c r="L14" i="19" s="1"/>
  <c r="H14" i="19"/>
  <c r="H11" i="19"/>
  <c r="I24" i="19"/>
  <c r="S20" i="19"/>
  <c r="S11" i="19"/>
  <c r="Q11" i="19"/>
  <c r="Q15" i="19"/>
  <c r="AH11" i="19" l="1"/>
  <c r="AI11" i="19" s="1"/>
  <c r="AH16" i="19"/>
  <c r="AI16" i="19" s="1"/>
  <c r="AH15" i="19"/>
  <c r="AI15" i="19" s="1"/>
  <c r="AH8" i="19"/>
  <c r="AI8" i="19" s="1"/>
  <c r="AH14" i="19"/>
  <c r="AI14" i="19" s="1"/>
  <c r="AH17" i="19"/>
  <c r="AI17" i="19" s="1"/>
  <c r="AH20" i="19"/>
  <c r="AI20" i="19" s="1"/>
  <c r="L24" i="19"/>
  <c r="J24" i="19"/>
  <c r="Q32" i="13"/>
  <c r="Q36" i="13" s="1"/>
  <c r="Q40" i="13" s="1"/>
  <c r="Q19" i="19" s="1"/>
  <c r="S29" i="13"/>
  <c r="S32" i="13" s="1"/>
  <c r="S36" i="13" s="1"/>
  <c r="S40" i="13" s="1"/>
  <c r="S19" i="19" s="1"/>
  <c r="O61" i="6"/>
  <c r="O63" i="6" s="1"/>
  <c r="O65" i="6" s="1"/>
  <c r="O69" i="6" s="1"/>
  <c r="H29" i="13"/>
  <c r="H32" i="13" s="1"/>
  <c r="H36" i="13" s="1"/>
  <c r="H40" i="13" s="1"/>
  <c r="P32" i="13"/>
  <c r="P36" i="13" s="1"/>
  <c r="P40" i="13" s="1"/>
  <c r="O29" i="13"/>
  <c r="O32" i="13" s="1"/>
  <c r="O36" i="13" s="1"/>
  <c r="O40" i="13" s="1"/>
  <c r="AG40" i="13" l="1"/>
  <c r="AG19" i="19" s="1"/>
  <c r="P19" i="19"/>
  <c r="H61" i="6"/>
  <c r="H63" i="6" s="1"/>
  <c r="H65" i="6" s="1"/>
  <c r="H69" i="6" s="1"/>
  <c r="P63" i="6"/>
  <c r="P65" i="6" s="1"/>
  <c r="P69" i="6" s="1"/>
  <c r="H19" i="19" l="1"/>
  <c r="O19" i="19"/>
  <c r="P9" i="19"/>
  <c r="O9" i="19" s="1"/>
  <c r="R24" i="19"/>
  <c r="S61" i="6"/>
  <c r="S63" i="6" s="1"/>
  <c r="S65" i="6" s="1"/>
  <c r="S69" i="6" s="1"/>
  <c r="S9" i="19" s="1"/>
  <c r="Q63" i="6"/>
  <c r="Q65" i="6" s="1"/>
  <c r="Q69" i="6" s="1"/>
  <c r="AG69" i="6" l="1"/>
  <c r="AG9" i="19" s="1"/>
  <c r="AH19" i="19"/>
  <c r="AI19" i="19" s="1"/>
  <c r="O24" i="19"/>
  <c r="G24" i="19"/>
  <c r="H9" i="19"/>
  <c r="N24" i="19"/>
  <c r="P24" i="19"/>
  <c r="Q9" i="19"/>
  <c r="S24" i="19"/>
  <c r="AH9" i="19" l="1"/>
  <c r="AI9" i="19" s="1"/>
  <c r="Q24" i="19"/>
  <c r="D9" i="3"/>
  <c r="D13" i="3" s="1"/>
  <c r="D26" i="3" s="1"/>
  <c r="D30" i="3" s="1"/>
  <c r="E13" i="3"/>
  <c r="E26" i="3" s="1"/>
  <c r="E30" i="3" s="1"/>
  <c r="E13" i="19" s="1"/>
  <c r="C13" i="19" s="1"/>
  <c r="D13" i="19" l="1"/>
  <c r="AH13" i="19" s="1"/>
  <c r="AG30" i="3"/>
  <c r="AG13" i="19" s="1"/>
  <c r="AI13" i="19" l="1"/>
  <c r="H24" i="19"/>
  <c r="D9" i="12"/>
  <c r="D13" i="12"/>
  <c r="D29" i="12" s="1"/>
  <c r="D33" i="12" s="1"/>
  <c r="E13" i="12"/>
  <c r="E29" i="12" s="1"/>
  <c r="E33" i="12" s="1"/>
  <c r="E18" i="19" s="1"/>
  <c r="C18" i="19" s="1"/>
  <c r="D9" i="16"/>
  <c r="D13" i="16" s="1"/>
  <c r="D27" i="16" s="1"/>
  <c r="D31" i="16" s="1"/>
  <c r="E13" i="16"/>
  <c r="E27" i="16" s="1"/>
  <c r="E31" i="16" s="1"/>
  <c r="E22" i="19" s="1"/>
  <c r="C22" i="19" s="1"/>
  <c r="D18" i="19" l="1"/>
  <c r="AG33" i="12"/>
  <c r="AG18" i="19" s="1"/>
  <c r="D22" i="19"/>
  <c r="AH22" i="19" s="1"/>
  <c r="AG31" i="16"/>
  <c r="AG22" i="19" s="1"/>
  <c r="AH18" i="19"/>
  <c r="C24" i="19"/>
  <c r="E24" i="19"/>
  <c r="D24" i="19" l="1"/>
  <c r="AI18" i="19"/>
  <c r="AI22" i="19"/>
</calcChain>
</file>

<file path=xl/sharedStrings.xml><?xml version="1.0" encoding="utf-8"?>
<sst xmlns="http://schemas.openxmlformats.org/spreadsheetml/2006/main" count="970" uniqueCount="248">
  <si>
    <t>Maintenance costs</t>
  </si>
  <si>
    <t>Total Expenditure</t>
  </si>
  <si>
    <t>Insurance</t>
  </si>
  <si>
    <t>Lightning Conductor</t>
  </si>
  <si>
    <t>Staff Costs</t>
  </si>
  <si>
    <t>Leisure Facilities</t>
  </si>
  <si>
    <t>Pool Chemicals</t>
  </si>
  <si>
    <t>Gas</t>
  </si>
  <si>
    <t>INSURANCE</t>
  </si>
  <si>
    <t>Directors &amp; Officers</t>
  </si>
  <si>
    <t>Garages</t>
  </si>
  <si>
    <t>Day to Day Maintenance</t>
  </si>
  <si>
    <t>Fire Risk Assessment/Signage</t>
  </si>
  <si>
    <t>Fire Extinguisher Maintenance</t>
  </si>
  <si>
    <t>Window Cleaning</t>
  </si>
  <si>
    <t>Communal Electricity</t>
  </si>
  <si>
    <t>Consumables and Light Bulbs</t>
  </si>
  <si>
    <t>Smoke Ventilation</t>
  </si>
  <si>
    <t>Lift Maintenance/Annual Service</t>
  </si>
  <si>
    <t>Bank Charges</t>
  </si>
  <si>
    <t>Communal Costs</t>
  </si>
  <si>
    <t>Internal Cleaning</t>
  </si>
  <si>
    <t>Day to day Maintenance</t>
  </si>
  <si>
    <t>Maintenance Costs</t>
  </si>
  <si>
    <t>Emergency Lighting</t>
  </si>
  <si>
    <t>Fire Alarm Maintenance</t>
  </si>
  <si>
    <t>Lift Maintenance Costs</t>
  </si>
  <si>
    <t>Administration Costs</t>
  </si>
  <si>
    <t>Office Telephone</t>
  </si>
  <si>
    <t>Office Broadband</t>
  </si>
  <si>
    <t>Office Stationery and Consumables</t>
  </si>
  <si>
    <t>Sundry Expenses</t>
  </si>
  <si>
    <t>Cleaning Costs</t>
  </si>
  <si>
    <t>Pool Costs</t>
  </si>
  <si>
    <t>Electricity</t>
  </si>
  <si>
    <t>Lift Costs</t>
  </si>
  <si>
    <t>Estate &amp; Grounds Maintenance</t>
  </si>
  <si>
    <t>Utilities &amp; Electrical Costs</t>
  </si>
  <si>
    <t>Estate Electricity</t>
  </si>
  <si>
    <t>Health and Safety</t>
  </si>
  <si>
    <t>Uniforms (including Protective Clothing)</t>
  </si>
  <si>
    <t xml:space="preserve">Emergency Lighting </t>
  </si>
  <si>
    <t>Telephone Lines for Gates</t>
  </si>
  <si>
    <t>Lift Telephone Lines</t>
  </si>
  <si>
    <t>Budget</t>
  </si>
  <si>
    <t>Pool Maintenance and Repairs</t>
  </si>
  <si>
    <t>Spa Maintenance and Repairs</t>
  </si>
  <si>
    <t>Gym Maintenance and Repairs</t>
  </si>
  <si>
    <t>Boiler Maintenance and Repairs</t>
  </si>
  <si>
    <t>Air Handling Maintenance and Repairs</t>
  </si>
  <si>
    <t>Emergency Light Testing</t>
  </si>
  <si>
    <t>Water Cooler</t>
  </si>
  <si>
    <t>Electrical and Lighting Repairs</t>
  </si>
  <si>
    <t>Alexandra</t>
  </si>
  <si>
    <t>Alexandra Building</t>
  </si>
  <si>
    <t>Cliffe</t>
  </si>
  <si>
    <t>Edward</t>
  </si>
  <si>
    <t>Kingswood</t>
  </si>
  <si>
    <t>Muxlow</t>
  </si>
  <si>
    <t>Peveril</t>
  </si>
  <si>
    <t>Sheaf 1</t>
  </si>
  <si>
    <t>Sheaf 2</t>
  </si>
  <si>
    <t>Sheaf 3 Apartments</t>
  </si>
  <si>
    <t>Sheaf 3 Building</t>
  </si>
  <si>
    <t>Victoria</t>
  </si>
  <si>
    <t>Leisure Suite</t>
  </si>
  <si>
    <t>Security measures</t>
  </si>
  <si>
    <t>Security</t>
  </si>
  <si>
    <t>Emergency Lighting Testing</t>
  </si>
  <si>
    <t>Estate Lighting and Repairs</t>
  </si>
  <si>
    <t>Lone Worker Protection</t>
  </si>
  <si>
    <t>Window Cleaning - external</t>
  </si>
  <si>
    <t>Window and Glass Cleaning - internal</t>
  </si>
  <si>
    <t>Sauna Maintenance and Repairs</t>
  </si>
  <si>
    <t>Roads, Drains &amp; Severe Weather Maintenance</t>
  </si>
  <si>
    <t>Community, Communications &amp; Website</t>
  </si>
  <si>
    <t>General Staff Training</t>
  </si>
  <si>
    <t>Staff Training Regulatory (Health &amp; Safety)</t>
  </si>
  <si>
    <t>Fire Alarm System Maintenance</t>
  </si>
  <si>
    <t>Leisure Suite Utilities</t>
  </si>
  <si>
    <t>Gates - H&amp;S, Repairs and Maintenance</t>
  </si>
  <si>
    <t xml:space="preserve">Management </t>
  </si>
  <si>
    <t>Finance and Accounting</t>
  </si>
  <si>
    <t>Legal</t>
  </si>
  <si>
    <t>External Audit Fees</t>
  </si>
  <si>
    <t>Company Secretarial Fees</t>
  </si>
  <si>
    <t>LEISURE SUITE</t>
  </si>
  <si>
    <t>Block Management</t>
  </si>
  <si>
    <t xml:space="preserve">Block Management </t>
  </si>
  <si>
    <t>Staff Expenses</t>
  </si>
  <si>
    <t>Lift Maintenance/Service</t>
  </si>
  <si>
    <t>Statutory Insurance inspections</t>
  </si>
  <si>
    <t>Statutory Insurance Inspections</t>
  </si>
  <si>
    <t>Variance</t>
  </si>
  <si>
    <t>Notes</t>
  </si>
  <si>
    <t>Contribution to reserves</t>
  </si>
  <si>
    <t>Contribution to Reserves</t>
  </si>
  <si>
    <t>Contribution  to reserves</t>
  </si>
  <si>
    <t>Staff Salaries and Employment Costs (inc pension contributions)</t>
  </si>
  <si>
    <t xml:space="preserve">Ombudsman Services Scheme </t>
  </si>
  <si>
    <t>Site valuation</t>
  </si>
  <si>
    <t>Actual</t>
  </si>
  <si>
    <t>Pest Control</t>
  </si>
  <si>
    <t>Light duty equipment maintenance</t>
  </si>
  <si>
    <t>Light Equipment misc costs</t>
  </si>
  <si>
    <t>Terrorism cover</t>
  </si>
  <si>
    <t>Roof Repairs</t>
  </si>
  <si>
    <t>Roof repairs</t>
  </si>
  <si>
    <t>Book-keeping &amp; Admin &amp; Payroll</t>
  </si>
  <si>
    <t>Drain work</t>
  </si>
  <si>
    <t>Refreshments</t>
  </si>
  <si>
    <t>Drain repairs</t>
  </si>
  <si>
    <t>Carpet Cleaning/machinery</t>
  </si>
  <si>
    <t>IT and network costs/monthly software/broadband</t>
  </si>
  <si>
    <t>General Administrative costs/stamps</t>
  </si>
  <si>
    <t>HR/Staffing/Job Adverts/HR Advice/Payroll Software</t>
  </si>
  <si>
    <t>Garden/Grounds Maintenance &amp; extra planting</t>
  </si>
  <si>
    <t>LED street lamp bulb upgrade</t>
  </si>
  <si>
    <t>Building work</t>
  </si>
  <si>
    <t>Contractor Cleaning</t>
  </si>
  <si>
    <t>Cleaning Materials &amp; Consumables</t>
  </si>
  <si>
    <t>Water (Leisure &amp; estate external taps)</t>
  </si>
  <si>
    <t>Door Entry System &amp; Door Maintenance</t>
  </si>
  <si>
    <t>Hygiene Services &amp; Urinal Cartridges</t>
  </si>
  <si>
    <t>Major Equipment</t>
  </si>
  <si>
    <t>Emergency Light Testing &amp; Repairs</t>
  </si>
  <si>
    <t>EICR Testing (every 5 years)</t>
  </si>
  <si>
    <t>Carpet cleaning</t>
  </si>
  <si>
    <t>EICR Testing every 5 years</t>
  </si>
  <si>
    <t>Fire Alarm Maintenance/Smoke Ventilation</t>
  </si>
  <si>
    <t>EICR testing every 5 years</t>
  </si>
  <si>
    <t>EICR testing (every 5 years)</t>
  </si>
  <si>
    <t>Full Year</t>
  </si>
  <si>
    <t>&lt;---------- to October ----------&gt;</t>
  </si>
  <si>
    <t>&lt;----- Budget -----&gt;</t>
  </si>
  <si>
    <t>Variance to 2017 Budget</t>
  </si>
  <si>
    <t>Variance to 2018 Budget</t>
  </si>
  <si>
    <t>Service Charge Budgets</t>
  </si>
  <si>
    <t>Total prior to reserves</t>
  </si>
  <si>
    <t>Total Communal Costs</t>
  </si>
  <si>
    <t>Total Maintenance Costs</t>
  </si>
  <si>
    <r>
      <t>Emergency Lighting</t>
    </r>
    <r>
      <rPr>
        <sz val="11"/>
        <color indexed="10"/>
        <rFont val="Calibri"/>
        <family val="2"/>
        <scheme val="minor"/>
      </rPr>
      <t xml:space="preserve"> </t>
    </r>
  </si>
  <si>
    <t>Total Lift Maintenance Costs</t>
  </si>
  <si>
    <t>Check Figure</t>
  </si>
  <si>
    <t>Communal Management &amp; Administration</t>
  </si>
  <si>
    <t>Total Staff Costs</t>
  </si>
  <si>
    <t>Total Administration Costs</t>
  </si>
  <si>
    <t>Total Management Costs</t>
  </si>
  <si>
    <t>Total Security Costs</t>
  </si>
  <si>
    <t>Total Utilities &amp; Electrical Costs</t>
  </si>
  <si>
    <t>Total Estate &amp; Grounds Maintenance</t>
  </si>
  <si>
    <t>EV Charging Point Survey</t>
  </si>
  <si>
    <t>Electrical Tracing Survey &amp; Recabling</t>
  </si>
  <si>
    <t>Total Cleaning Costs</t>
  </si>
  <si>
    <t>Total Pool Costs</t>
  </si>
  <si>
    <t>Total Leisure Suite Utilities</t>
  </si>
  <si>
    <t>Total Leisure Facilities</t>
  </si>
  <si>
    <t>Total Lift Costs</t>
  </si>
  <si>
    <t>Check Figures</t>
  </si>
  <si>
    <t>No. Units</t>
  </si>
  <si>
    <t>Alexandra Buildings</t>
  </si>
  <si>
    <t>Communal</t>
  </si>
  <si>
    <t>Sheaf 3 Buildings</t>
  </si>
  <si>
    <t>Per Dwelling</t>
  </si>
  <si>
    <t>Electrical Compliance Testing</t>
  </si>
  <si>
    <t>Tracey's Estimate</t>
  </si>
  <si>
    <r>
      <t xml:space="preserve">Communal Electricity </t>
    </r>
    <r>
      <rPr>
        <vertAlign val="superscript"/>
        <sz val="11"/>
        <rFont val="Calibri"/>
        <family val="2"/>
        <scheme val="minor"/>
      </rPr>
      <t>1</t>
    </r>
  </si>
  <si>
    <r>
      <t xml:space="preserve">Communal Electricity </t>
    </r>
    <r>
      <rPr>
        <vertAlign val="superscript"/>
        <sz val="12"/>
        <rFont val="Calibri"/>
        <family val="2"/>
        <scheme val="minor"/>
      </rPr>
      <t>1</t>
    </r>
  </si>
  <si>
    <t>Reserves</t>
  </si>
  <si>
    <t>Annual Charge</t>
  </si>
  <si>
    <t>Other Stuff</t>
  </si>
  <si>
    <t>£1 per dwelling per week</t>
  </si>
  <si>
    <t>No. of Dwellings</t>
  </si>
  <si>
    <t>ALEXANDRA APARTMENTS</t>
  </si>
  <si>
    <t>ALEXANDRA BUILDING</t>
  </si>
  <si>
    <t>CLIFFE</t>
  </si>
  <si>
    <t>EDWARD</t>
  </si>
  <si>
    <t>KINGSWOOD</t>
  </si>
  <si>
    <t>MUXLOW</t>
  </si>
  <si>
    <t>SHEAF 1 APARTMENTS</t>
  </si>
  <si>
    <t>SHEAF 2</t>
  </si>
  <si>
    <t>SHEAF 3 APARTMENTS</t>
  </si>
  <si>
    <t>SHEAF 3 BUILDING</t>
  </si>
  <si>
    <t>VICTORIA</t>
  </si>
  <si>
    <t>Alexandra Apartments</t>
  </si>
  <si>
    <t>Totals</t>
  </si>
  <si>
    <t>% being Charged</t>
  </si>
  <si>
    <t>Variance to 2019 Budget</t>
  </si>
  <si>
    <t>COMMUNAL MANAGEMENT &amp; ADMINISTRATION</t>
  </si>
  <si>
    <t>TOTAL EXPENDITURE SUMMARY</t>
  </si>
  <si>
    <t>Revised Contribution</t>
  </si>
  <si>
    <t>LED upgrades</t>
  </si>
  <si>
    <t>Andrews hot water system</t>
  </si>
  <si>
    <t>Misc site costs</t>
  </si>
  <si>
    <t>Office equipment</t>
  </si>
  <si>
    <t>Variance to 2020 Budget</t>
  </si>
  <si>
    <t>Inflation Factor, CPI to 16th September, 2020</t>
  </si>
  <si>
    <t>Block Management *</t>
  </si>
  <si>
    <t>Month to Compare Current Year's Expenditure to Budget</t>
  </si>
  <si>
    <t>&lt;------------</t>
  </si>
  <si>
    <t>-------------&gt;</t>
  </si>
  <si>
    <t>Year</t>
  </si>
  <si>
    <t>2018 Service Charges</t>
  </si>
  <si>
    <t>2019 Service Charges</t>
  </si>
  <si>
    <t>2020 Service Charges *</t>
  </si>
  <si>
    <t>Variance to 2020 Charges</t>
  </si>
  <si>
    <t>Changing the number of months that Actual Expenditure is being entered for (e.g. 9 for September), will automatically change the formula and the heading on each page.</t>
  </si>
  <si>
    <t>Reserves 31/12/2019</t>
  </si>
  <si>
    <r>
      <t xml:space="preserve">Insurance </t>
    </r>
    <r>
      <rPr>
        <vertAlign val="superscript"/>
        <sz val="11"/>
        <rFont val="Calibri"/>
        <family val="2"/>
        <scheme val="minor"/>
      </rPr>
      <t>2</t>
    </r>
  </si>
  <si>
    <r>
      <t xml:space="preserve">Transfer Fee Fund </t>
    </r>
    <r>
      <rPr>
        <vertAlign val="superscript"/>
        <sz val="11"/>
        <rFont val="Calibri"/>
        <family val="2"/>
        <scheme val="minor"/>
      </rPr>
      <t>3</t>
    </r>
  </si>
  <si>
    <t>Net Reserves 1/1/2020</t>
  </si>
  <si>
    <t>2020 Contribution to Reserves</t>
  </si>
  <si>
    <t>Reserves Budget 2021</t>
  </si>
  <si>
    <t>A. These figures do not include any expenditure from Reserves during 2020, as this information is 
not yet available.  Planned expenditure is included in the table below.</t>
  </si>
  <si>
    <t>Block Management Charge for Alexandra &amp; Sheaf 3 Apartments are included in their repsective Buildings charge.</t>
  </si>
  <si>
    <r>
      <t xml:space="preserve">After Prior Year Adjustment </t>
    </r>
    <r>
      <rPr>
        <b/>
        <vertAlign val="superscript"/>
        <sz val="11"/>
        <rFont val="Calibri"/>
        <family val="2"/>
        <scheme val="minor"/>
      </rPr>
      <t>A</t>
    </r>
  </si>
  <si>
    <r>
      <t xml:space="preserve">Available 1/1/2021 </t>
    </r>
    <r>
      <rPr>
        <b/>
        <vertAlign val="superscript"/>
        <sz val="10.5"/>
        <rFont val="Calibri"/>
        <family val="2"/>
        <scheme val="minor"/>
      </rPr>
      <t>C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</si>
  <si>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B</t>
    </r>
  </si>
  <si>
    <r>
      <t xml:space="preserve">2019 Surpluses &amp; Deficits </t>
    </r>
    <r>
      <rPr>
        <b/>
        <vertAlign val="superscript"/>
        <sz val="11"/>
        <rFont val="Calibri"/>
        <family val="2"/>
        <scheme val="minor"/>
      </rPr>
      <t>B</t>
    </r>
  </si>
  <si>
    <t>B. From Annual Accounts 2019</t>
  </si>
  <si>
    <t>C. Excludes and Resrves expenditure during 2020 as this information is not yet available.</t>
  </si>
  <si>
    <t>October, 2018</t>
  </si>
  <si>
    <t>October, 2019</t>
  </si>
  <si>
    <t>Column K</t>
  </si>
  <si>
    <t>2020 YTD &amp; Known Reserves Expendure</t>
  </si>
  <si>
    <t>Budget Pages</t>
  </si>
  <si>
    <t>Summary</t>
  </si>
  <si>
    <t xml:space="preserve">Kingswood Clock </t>
  </si>
  <si>
    <t xml:space="preserve"> </t>
  </si>
  <si>
    <t>Council bin rental charge (now cost in 2020)</t>
  </si>
  <si>
    <t>Covid 19 additional costs (new in 2020)</t>
  </si>
  <si>
    <t>Going out to market in 2020 for 2021 renewal</t>
  </si>
  <si>
    <r>
      <t>Communal Electricity</t>
    </r>
    <r>
      <rPr>
        <sz val="11"/>
        <rFont val="Calibri"/>
        <family val="2"/>
      </rPr>
      <t>¹</t>
    </r>
  </si>
  <si>
    <r>
      <t xml:space="preserve">Window Cleaning </t>
    </r>
    <r>
      <rPr>
        <sz val="10"/>
        <rFont val="Calibri"/>
        <family val="2"/>
        <scheme val="minor"/>
      </rPr>
      <t>- no communal windows</t>
    </r>
  </si>
  <si>
    <t>&lt;---------- to December----------&gt;</t>
  </si>
  <si>
    <t>&lt;---------- to December ---------&gt;</t>
  </si>
  <si>
    <t>&lt;---------- to December ----------&gt;</t>
  </si>
  <si>
    <t>P</t>
  </si>
  <si>
    <t>2021 agreed reserve contribution</t>
  </si>
  <si>
    <t>Fobs</t>
  </si>
  <si>
    <t>Income received from the sales of these fobs - fig. for information purposes at this stage - will be adjusted at year end</t>
  </si>
  <si>
    <t>Fob expenditure in 2020 to be adjusted at year end</t>
  </si>
  <si>
    <t>Commercial Combined inc Terrorism</t>
  </si>
  <si>
    <t>Property Owners &amp; PL Insurance inc Terrorism</t>
  </si>
  <si>
    <t>Insurance Premium Tax  (inc in figures)</t>
  </si>
  <si>
    <t>Statutory Lift Inspections (Engineering Risk)</t>
  </si>
  <si>
    <t>This charge are show in the individual blocks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</si>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</sst>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;[Red]#,##0"/>
    <numFmt numFmtId="166" formatCode="_-* #,##0_-;\-* #,##0_-;_-* &quot;-&quot;??_-;_-@_-"/>
    <numFmt numFmtId="167" formatCode="0.0%"/>
    <numFmt numFmtId="168" formatCode="#,##0_ ;[Red]\-#,##0\ "/>
    <numFmt numFmtId="169" formatCode="#,##0.00_ ;[Red]\-#,##0.00\ "/>
    <numFmt numFmtId="170" formatCode="&quot;£&quot;#,##0.00"/>
  </numFmts>
  <fonts count="90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2" tint="-0.749992370372631"/>
      <name val="Arial"/>
      <family val="2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u/>
      <sz val="10"/>
      <color theme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name val="Calibri"/>
      <family val="2"/>
    </font>
    <font>
      <b/>
      <sz val="10"/>
      <color indexed="8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568">
    <xf numFmtId="0" fontId="0" fillId="0" borderId="0" xfId="0"/>
    <xf numFmtId="0" fontId="26" fillId="0" borderId="0" xfId="37" applyFont="1" applyAlignment="1">
      <alignment vertical="center"/>
    </xf>
    <xf numFmtId="0" fontId="27" fillId="0" borderId="0" xfId="37" applyFont="1" applyAlignment="1">
      <alignment vertical="center"/>
    </xf>
    <xf numFmtId="0" fontId="28" fillId="0" borderId="0" xfId="0" applyFont="1" applyAlignment="1">
      <alignment vertical="center"/>
    </xf>
    <xf numFmtId="164" fontId="30" fillId="0" borderId="0" xfId="37" applyNumberFormat="1" applyFont="1" applyAlignment="1">
      <alignment vertical="center"/>
    </xf>
    <xf numFmtId="164" fontId="28" fillId="0" borderId="0" xfId="37" applyNumberFormat="1" applyFont="1" applyAlignment="1">
      <alignment vertical="center"/>
    </xf>
    <xf numFmtId="0" fontId="31" fillId="0" borderId="0" xfId="0" applyFont="1" applyAlignment="1">
      <alignment vertical="center"/>
    </xf>
    <xf numFmtId="164" fontId="27" fillId="0" borderId="0" xfId="37" applyNumberFormat="1" applyFont="1" applyAlignment="1">
      <alignment vertical="center"/>
    </xf>
    <xf numFmtId="164" fontId="26" fillId="0" borderId="0" xfId="37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166" fontId="28" fillId="0" borderId="0" xfId="57" applyNumberFormat="1" applyFont="1" applyAlignment="1">
      <alignment vertical="center"/>
    </xf>
    <xf numFmtId="0" fontId="30" fillId="0" borderId="0" xfId="0" applyFont="1" applyAlignment="1">
      <alignment vertical="center"/>
    </xf>
    <xf numFmtId="166" fontId="30" fillId="0" borderId="0" xfId="57" applyNumberFormat="1" applyFont="1" applyBorder="1" applyAlignment="1">
      <alignment vertical="center"/>
    </xf>
    <xf numFmtId="166" fontId="32" fillId="0" borderId="0" xfId="57" applyNumberFormat="1" applyFont="1" applyAlignment="1">
      <alignment vertical="center"/>
    </xf>
    <xf numFmtId="166" fontId="27" fillId="0" borderId="0" xfId="57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37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44" fillId="0" borderId="0" xfId="37" applyFont="1" applyAlignment="1">
      <alignment vertical="center"/>
    </xf>
    <xf numFmtId="0" fontId="45" fillId="0" borderId="0" xfId="37" applyFont="1" applyAlignment="1">
      <alignment vertical="center"/>
    </xf>
    <xf numFmtId="0" fontId="55" fillId="0" borderId="0" xfId="0" applyFont="1" applyAlignment="1">
      <alignment vertical="center"/>
    </xf>
    <xf numFmtId="166" fontId="55" fillId="0" borderId="0" xfId="57" applyNumberFormat="1" applyFont="1" applyAlignment="1">
      <alignment vertical="center"/>
    </xf>
    <xf numFmtId="166" fontId="50" fillId="0" borderId="0" xfId="57" applyNumberFormat="1" applyFont="1" applyBorder="1" applyAlignment="1">
      <alignment vertical="center"/>
    </xf>
    <xf numFmtId="0" fontId="28" fillId="0" borderId="0" xfId="0" applyFont="1"/>
    <xf numFmtId="0" fontId="35" fillId="0" borderId="0" xfId="0" applyFont="1"/>
    <xf numFmtId="0" fontId="33" fillId="0" borderId="0" xfId="0" applyFont="1"/>
    <xf numFmtId="164" fontId="26" fillId="0" borderId="0" xfId="37" applyNumberFormat="1" applyFont="1"/>
    <xf numFmtId="164" fontId="33" fillId="0" borderId="0" xfId="0" applyNumberFormat="1" applyFont="1"/>
    <xf numFmtId="164" fontId="28" fillId="0" borderId="0" xfId="0" applyNumberFormat="1" applyFont="1"/>
    <xf numFmtId="164" fontId="35" fillId="0" borderId="10" xfId="0" applyNumberFormat="1" applyFont="1" applyBorder="1"/>
    <xf numFmtId="164" fontId="33" fillId="0" borderId="10" xfId="0" applyNumberFormat="1" applyFont="1" applyBorder="1"/>
    <xf numFmtId="164" fontId="28" fillId="0" borderId="10" xfId="0" applyNumberFormat="1" applyFont="1" applyBorder="1"/>
    <xf numFmtId="164" fontId="33" fillId="0" borderId="0" xfId="0" applyNumberFormat="1" applyFont="1" applyBorder="1"/>
    <xf numFmtId="164" fontId="28" fillId="0" borderId="0" xfId="0" applyNumberFormat="1" applyFont="1" applyBorder="1"/>
    <xf numFmtId="0" fontId="32" fillId="0" borderId="0" xfId="0" applyFont="1"/>
    <xf numFmtId="164" fontId="27" fillId="0" borderId="0" xfId="37" applyNumberFormat="1" applyFont="1"/>
    <xf numFmtId="164" fontId="30" fillId="0" borderId="0" xfId="0" applyNumberFormat="1" applyFont="1"/>
    <xf numFmtId="0" fontId="43" fillId="0" borderId="0" xfId="37" applyFont="1"/>
    <xf numFmtId="0" fontId="36" fillId="0" borderId="0" xfId="0" applyFont="1"/>
    <xf numFmtId="0" fontId="39" fillId="0" borderId="0" xfId="0" applyFont="1"/>
    <xf numFmtId="164" fontId="30" fillId="0" borderId="0" xfId="37" applyNumberFormat="1" applyFont="1"/>
    <xf numFmtId="164" fontId="28" fillId="0" borderId="0" xfId="37" applyNumberFormat="1" applyFont="1"/>
    <xf numFmtId="164" fontId="32" fillId="0" borderId="0" xfId="0" applyNumberFormat="1" applyFont="1"/>
    <xf numFmtId="164" fontId="27" fillId="0" borderId="10" xfId="55" applyNumberFormat="1" applyFont="1" applyBorder="1"/>
    <xf numFmtId="0" fontId="44" fillId="0" borderId="0" xfId="55" applyFont="1" applyAlignment="1">
      <alignment vertical="center"/>
    </xf>
    <xf numFmtId="0" fontId="26" fillId="0" borderId="0" xfId="55" applyFont="1" applyAlignment="1">
      <alignment vertical="center"/>
    </xf>
    <xf numFmtId="0" fontId="27" fillId="0" borderId="0" xfId="55" applyFont="1" applyAlignment="1">
      <alignment vertical="center"/>
    </xf>
    <xf numFmtId="0" fontId="43" fillId="0" borderId="0" xfId="55" applyFont="1" applyAlignment="1">
      <alignment vertical="center"/>
    </xf>
    <xf numFmtId="164" fontId="50" fillId="0" borderId="0" xfId="55" applyNumberFormat="1" applyFont="1" applyAlignment="1">
      <alignment vertical="center"/>
    </xf>
    <xf numFmtId="164" fontId="55" fillId="0" borderId="0" xfId="55" applyNumberFormat="1" applyFont="1" applyAlignment="1">
      <alignment vertical="center"/>
    </xf>
    <xf numFmtId="168" fontId="53" fillId="0" borderId="0" xfId="57" applyNumberFormat="1" applyFont="1" applyAlignment="1">
      <alignment vertical="center"/>
    </xf>
    <xf numFmtId="168" fontId="55" fillId="0" borderId="0" xfId="57" applyNumberFormat="1" applyFont="1" applyAlignment="1">
      <alignment vertical="center"/>
    </xf>
    <xf numFmtId="168" fontId="53" fillId="0" borderId="0" xfId="0" applyNumberFormat="1" applyFont="1" applyAlignment="1">
      <alignment vertical="center"/>
    </xf>
    <xf numFmtId="168" fontId="54" fillId="0" borderId="0" xfId="0" applyNumberFormat="1" applyFont="1" applyAlignment="1">
      <alignment vertical="center"/>
    </xf>
    <xf numFmtId="168" fontId="55" fillId="0" borderId="0" xfId="0" applyNumberFormat="1" applyFont="1" applyAlignment="1">
      <alignment vertical="center"/>
    </xf>
    <xf numFmtId="168" fontId="54" fillId="0" borderId="0" xfId="57" applyNumberFormat="1" applyFont="1" applyAlignment="1">
      <alignment vertical="center"/>
    </xf>
    <xf numFmtId="168" fontId="51" fillId="0" borderId="10" xfId="57" applyNumberFormat="1" applyFont="1" applyBorder="1" applyAlignment="1">
      <alignment vertical="center"/>
    </xf>
    <xf numFmtId="168" fontId="52" fillId="0" borderId="10" xfId="57" applyNumberFormat="1" applyFont="1" applyBorder="1" applyAlignment="1">
      <alignment vertical="center"/>
    </xf>
    <xf numFmtId="168" fontId="50" fillId="0" borderId="0" xfId="0" applyNumberFormat="1" applyFont="1" applyAlignment="1">
      <alignment vertical="center"/>
    </xf>
    <xf numFmtId="168" fontId="50" fillId="0" borderId="10" xfId="57" applyNumberFormat="1" applyFont="1" applyBorder="1" applyAlignment="1">
      <alignment vertical="center"/>
    </xf>
    <xf numFmtId="168" fontId="54" fillId="0" borderId="10" xfId="0" applyNumberFormat="1" applyFont="1" applyBorder="1" applyAlignment="1">
      <alignment vertical="center"/>
    </xf>
    <xf numFmtId="168" fontId="51" fillId="0" borderId="0" xfId="57" applyNumberFormat="1" applyFont="1" applyBorder="1" applyAlignment="1">
      <alignment vertical="center"/>
    </xf>
    <xf numFmtId="168" fontId="52" fillId="0" borderId="0" xfId="57" applyNumberFormat="1" applyFont="1" applyBorder="1" applyAlignment="1">
      <alignment vertical="center"/>
    </xf>
    <xf numFmtId="168" fontId="50" fillId="0" borderId="0" xfId="57" applyNumberFormat="1" applyFont="1" applyBorder="1" applyAlignment="1">
      <alignment vertical="center"/>
    </xf>
    <xf numFmtId="168" fontId="54" fillId="0" borderId="0" xfId="0" applyNumberFormat="1" applyFont="1" applyBorder="1" applyAlignment="1">
      <alignment vertical="center"/>
    </xf>
    <xf numFmtId="168" fontId="52" fillId="0" borderId="10" xfId="0" applyNumberFormat="1" applyFont="1" applyBorder="1" applyAlignment="1">
      <alignment vertical="center"/>
    </xf>
    <xf numFmtId="0" fontId="28" fillId="0" borderId="0" xfId="0" applyFont="1" applyAlignment="1"/>
    <xf numFmtId="0" fontId="32" fillId="0" borderId="0" xfId="0" applyFont="1" applyAlignment="1"/>
    <xf numFmtId="164" fontId="31" fillId="0" borderId="0" xfId="0" applyNumberFormat="1" applyFont="1"/>
    <xf numFmtId="164" fontId="30" fillId="0" borderId="0" xfId="55" applyNumberFormat="1" applyFont="1" applyAlignment="1">
      <alignment vertical="center"/>
    </xf>
    <xf numFmtId="168" fontId="35" fillId="0" borderId="0" xfId="0" applyNumberFormat="1" applyFont="1" applyAlignment="1">
      <alignment vertical="center"/>
    </xf>
    <xf numFmtId="168" fontId="33" fillId="0" borderId="0" xfId="0" applyNumberFormat="1" applyFont="1" applyAlignment="1">
      <alignment vertical="center"/>
    </xf>
    <xf numFmtId="168" fontId="28" fillId="0" borderId="0" xfId="0" applyNumberFormat="1" applyFont="1" applyAlignment="1">
      <alignment vertical="center"/>
    </xf>
    <xf numFmtId="164" fontId="28" fillId="0" borderId="0" xfId="55" applyNumberFormat="1" applyFont="1" applyAlignment="1">
      <alignment vertical="center"/>
    </xf>
    <xf numFmtId="168" fontId="35" fillId="0" borderId="0" xfId="57" applyNumberFormat="1" applyFont="1" applyAlignment="1">
      <alignment vertical="center"/>
    </xf>
    <xf numFmtId="168" fontId="33" fillId="0" borderId="0" xfId="57" applyNumberFormat="1" applyFont="1" applyAlignment="1">
      <alignment vertical="center"/>
    </xf>
    <xf numFmtId="168" fontId="28" fillId="0" borderId="0" xfId="57" applyNumberFormat="1" applyFont="1" applyAlignment="1">
      <alignment vertical="center"/>
    </xf>
    <xf numFmtId="0" fontId="31" fillId="0" borderId="0" xfId="0" applyFont="1" applyAlignment="1"/>
    <xf numFmtId="168" fontId="38" fillId="0" borderId="10" xfId="57" applyNumberFormat="1" applyFont="1" applyBorder="1" applyAlignment="1">
      <alignment vertical="center"/>
    </xf>
    <xf numFmtId="168" fontId="34" fillId="0" borderId="10" xfId="57" applyNumberFormat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68" fontId="30" fillId="0" borderId="10" xfId="57" applyNumberFormat="1" applyFont="1" applyBorder="1" applyAlignment="1">
      <alignment vertical="center"/>
    </xf>
    <xf numFmtId="168" fontId="34" fillId="0" borderId="10" xfId="0" applyNumberFormat="1" applyFont="1" applyBorder="1" applyAlignment="1">
      <alignment vertical="center"/>
    </xf>
    <xf numFmtId="0" fontId="30" fillId="0" borderId="0" xfId="0" applyFont="1" applyAlignment="1"/>
    <xf numFmtId="164" fontId="38" fillId="0" borderId="10" xfId="0" applyNumberFormat="1" applyFont="1" applyBorder="1"/>
    <xf numFmtId="164" fontId="34" fillId="0" borderId="10" xfId="0" applyNumberFormat="1" applyFont="1" applyBorder="1"/>
    <xf numFmtId="164" fontId="30" fillId="0" borderId="10" xfId="0" applyNumberFormat="1" applyFont="1" applyBorder="1"/>
    <xf numFmtId="164" fontId="35" fillId="0" borderId="0" xfId="0" applyNumberFormat="1" applyFont="1" applyBorder="1"/>
    <xf numFmtId="164" fontId="38" fillId="0" borderId="10" xfId="55" applyNumberFormat="1" applyFont="1" applyBorder="1"/>
    <xf numFmtId="164" fontId="34" fillId="0" borderId="10" xfId="55" applyNumberFormat="1" applyFont="1" applyBorder="1"/>
    <xf numFmtId="10" fontId="28" fillId="0" borderId="0" xfId="58" applyNumberFormat="1" applyFont="1" applyAlignment="1">
      <alignment vertical="center"/>
    </xf>
    <xf numFmtId="168" fontId="33" fillId="0" borderId="10" xfId="0" applyNumberFormat="1" applyFont="1" applyBorder="1" applyAlignment="1">
      <alignment vertical="center"/>
    </xf>
    <xf numFmtId="168" fontId="38" fillId="0" borderId="0" xfId="57" applyNumberFormat="1" applyFont="1" applyBorder="1" applyAlignment="1">
      <alignment vertical="center"/>
    </xf>
    <xf numFmtId="168" fontId="34" fillId="0" borderId="0" xfId="57" applyNumberFormat="1" applyFont="1" applyBorder="1" applyAlignment="1">
      <alignment vertical="center"/>
    </xf>
    <xf numFmtId="168" fontId="38" fillId="0" borderId="0" xfId="0" applyNumberFormat="1" applyFont="1" applyAlignment="1">
      <alignment vertical="center"/>
    </xf>
    <xf numFmtId="168" fontId="30" fillId="0" borderId="0" xfId="57" applyNumberFormat="1" applyFont="1" applyBorder="1" applyAlignment="1">
      <alignment vertical="center"/>
    </xf>
    <xf numFmtId="168" fontId="34" fillId="0" borderId="0" xfId="0" applyNumberFormat="1" applyFont="1" applyAlignment="1">
      <alignment vertical="center"/>
    </xf>
    <xf numFmtId="168" fontId="38" fillId="0" borderId="0" xfId="57" applyNumberFormat="1" applyFont="1" applyAlignment="1">
      <alignment vertical="center"/>
    </xf>
    <xf numFmtId="168" fontId="30" fillId="0" borderId="0" xfId="57" applyNumberFormat="1" applyFont="1" applyAlignment="1">
      <alignment vertical="center"/>
    </xf>
    <xf numFmtId="168" fontId="27" fillId="0" borderId="10" xfId="57" applyNumberFormat="1" applyFont="1" applyBorder="1" applyAlignment="1">
      <alignment vertical="center"/>
    </xf>
    <xf numFmtId="168" fontId="35" fillId="0" borderId="0" xfId="57" applyNumberFormat="1" applyFont="1"/>
    <xf numFmtId="168" fontId="33" fillId="0" borderId="0" xfId="57" applyNumberFormat="1" applyFont="1"/>
    <xf numFmtId="168" fontId="28" fillId="0" borderId="0" xfId="57" applyNumberFormat="1" applyFont="1"/>
    <xf numFmtId="168" fontId="33" fillId="0" borderId="0" xfId="57" applyNumberFormat="1" applyFont="1" applyBorder="1"/>
    <xf numFmtId="168" fontId="28" fillId="0" borderId="0" xfId="57" applyNumberFormat="1" applyFont="1" applyBorder="1"/>
    <xf numFmtId="168" fontId="35" fillId="0" borderId="0" xfId="0" applyNumberFormat="1" applyFont="1"/>
    <xf numFmtId="168" fontId="33" fillId="0" borderId="0" xfId="0" applyNumberFormat="1" applyFont="1"/>
    <xf numFmtId="168" fontId="28" fillId="0" borderId="0" xfId="0" applyNumberFormat="1" applyFont="1"/>
    <xf numFmtId="168" fontId="28" fillId="0" borderId="0" xfId="0" applyNumberFormat="1" applyFont="1" applyAlignment="1"/>
    <xf numFmtId="164" fontId="28" fillId="0" borderId="0" xfId="0" applyNumberFormat="1" applyFont="1" applyAlignment="1"/>
    <xf numFmtId="168" fontId="35" fillId="0" borderId="10" xfId="0" applyNumberFormat="1" applyFont="1" applyBorder="1"/>
    <xf numFmtId="168" fontId="33" fillId="0" borderId="10" xfId="0" applyNumberFormat="1" applyFont="1" applyBorder="1"/>
    <xf numFmtId="168" fontId="28" fillId="0" borderId="10" xfId="0" applyNumberFormat="1" applyFont="1" applyBorder="1"/>
    <xf numFmtId="168" fontId="35" fillId="0" borderId="0" xfId="0" applyNumberFormat="1" applyFont="1" applyBorder="1"/>
    <xf numFmtId="168" fontId="33" fillId="0" borderId="0" xfId="0" applyNumberFormat="1" applyFont="1" applyBorder="1"/>
    <xf numFmtId="168" fontId="28" fillId="0" borderId="0" xfId="0" applyNumberFormat="1" applyFont="1" applyBorder="1"/>
    <xf numFmtId="168" fontId="28" fillId="0" borderId="0" xfId="0" applyNumberFormat="1" applyFont="1" applyBorder="1" applyAlignment="1"/>
    <xf numFmtId="164" fontId="32" fillId="0" borderId="0" xfId="0" applyNumberFormat="1" applyFont="1" applyAlignment="1"/>
    <xf numFmtId="168" fontId="38" fillId="0" borderId="10" xfId="55" applyNumberFormat="1" applyFont="1" applyBorder="1"/>
    <xf numFmtId="168" fontId="34" fillId="0" borderId="10" xfId="55" applyNumberFormat="1" applyFont="1" applyBorder="1"/>
    <xf numFmtId="168" fontId="27" fillId="0" borderId="10" xfId="55" applyNumberFormat="1" applyFont="1" applyBorder="1"/>
    <xf numFmtId="168" fontId="33" fillId="0" borderId="0" xfId="0" applyNumberFormat="1" applyFont="1" applyBorder="1" applyAlignment="1">
      <alignment vertical="center"/>
    </xf>
    <xf numFmtId="0" fontId="30" fillId="0" borderId="0" xfId="0" applyFont="1"/>
    <xf numFmtId="0" fontId="48" fillId="0" borderId="0" xfId="0" applyFont="1"/>
    <xf numFmtId="168" fontId="38" fillId="0" borderId="10" xfId="57" applyNumberFormat="1" applyFont="1" applyBorder="1"/>
    <xf numFmtId="168" fontId="34" fillId="0" borderId="10" xfId="57" applyNumberFormat="1" applyFont="1" applyBorder="1"/>
    <xf numFmtId="168" fontId="30" fillId="0" borderId="0" xfId="57" applyNumberFormat="1" applyFont="1"/>
    <xf numFmtId="168" fontId="30" fillId="0" borderId="10" xfId="57" applyNumberFormat="1" applyFont="1" applyBorder="1"/>
    <xf numFmtId="168" fontId="30" fillId="0" borderId="10" xfId="0" applyNumberFormat="1" applyFont="1" applyBorder="1"/>
    <xf numFmtId="168" fontId="38" fillId="0" borderId="10" xfId="0" applyNumberFormat="1" applyFont="1" applyBorder="1"/>
    <xf numFmtId="168" fontId="34" fillId="0" borderId="10" xfId="0" applyNumberFormat="1" applyFont="1" applyBorder="1"/>
    <xf numFmtId="168" fontId="30" fillId="0" borderId="0" xfId="0" applyNumberFormat="1" applyFont="1"/>
    <xf numFmtId="168" fontId="30" fillId="0" borderId="10" xfId="0" applyNumberFormat="1" applyFont="1" applyBorder="1" applyAlignment="1"/>
    <xf numFmtId="164" fontId="30" fillId="0" borderId="0" xfId="0" applyNumberFormat="1" applyFont="1" applyAlignment="1"/>
    <xf numFmtId="0" fontId="48" fillId="0" borderId="0" xfId="0" applyFont="1" applyAlignment="1"/>
    <xf numFmtId="165" fontId="33" fillId="0" borderId="0" xfId="0" applyNumberFormat="1" applyFont="1" applyBorder="1"/>
    <xf numFmtId="164" fontId="26" fillId="0" borderId="0" xfId="37" applyNumberFormat="1" applyFont="1" applyFill="1"/>
    <xf numFmtId="0" fontId="32" fillId="0" borderId="0" xfId="0" applyFont="1" applyBorder="1"/>
    <xf numFmtId="164" fontId="39" fillId="0" borderId="0" xfId="0" applyNumberFormat="1" applyFont="1"/>
    <xf numFmtId="164" fontId="48" fillId="0" borderId="0" xfId="0" applyNumberFormat="1" applyFont="1"/>
    <xf numFmtId="168" fontId="30" fillId="0" borderId="0" xfId="0" applyNumberFormat="1" applyFont="1" applyBorder="1"/>
    <xf numFmtId="164" fontId="26" fillId="0" borderId="0" xfId="55" applyNumberFormat="1" applyFont="1" applyAlignment="1">
      <alignment vertical="center"/>
    </xf>
    <xf numFmtId="168" fontId="33" fillId="0" borderId="0" xfId="0" applyNumberFormat="1" applyFont="1" applyFill="1" applyBorder="1"/>
    <xf numFmtId="0" fontId="34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168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68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8" fillId="0" borderId="0" xfId="0" applyNumberFormat="1" applyFont="1" applyAlignment="1">
      <alignment vertical="center"/>
    </xf>
    <xf numFmtId="164" fontId="61" fillId="0" borderId="0" xfId="55" applyNumberFormat="1" applyFont="1" applyAlignment="1">
      <alignment vertical="center"/>
    </xf>
    <xf numFmtId="168" fontId="60" fillId="0" borderId="10" xfId="57" applyNumberFormat="1" applyFont="1" applyBorder="1" applyAlignment="1">
      <alignment vertical="center"/>
    </xf>
    <xf numFmtId="0" fontId="5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9" fillId="0" borderId="0" xfId="0" applyFont="1" applyAlignment="1"/>
    <xf numFmtId="164" fontId="28" fillId="0" borderId="0" xfId="37" applyNumberFormat="1" applyFont="1" applyFill="1"/>
    <xf numFmtId="168" fontId="26" fillId="0" borderId="10" xfId="55" applyNumberFormat="1" applyFont="1" applyFill="1" applyBorder="1"/>
    <xf numFmtId="168" fontId="33" fillId="0" borderId="10" xfId="55" applyNumberFormat="1" applyFont="1" applyFill="1" applyBorder="1"/>
    <xf numFmtId="168" fontId="35" fillId="0" borderId="10" xfId="55" applyNumberFormat="1" applyFont="1" applyFill="1" applyBorder="1"/>
    <xf numFmtId="0" fontId="28" fillId="0" borderId="12" xfId="0" applyFont="1" applyBorder="1" applyAlignment="1">
      <alignment vertical="center"/>
    </xf>
    <xf numFmtId="164" fontId="31" fillId="0" borderId="0" xfId="37" applyNumberFormat="1" applyFont="1" applyAlignment="1">
      <alignment vertical="center"/>
    </xf>
    <xf numFmtId="164" fontId="31" fillId="0" borderId="0" xfId="37" applyNumberFormat="1" applyFont="1"/>
    <xf numFmtId="0" fontId="47" fillId="0" borderId="0" xfId="55" applyFont="1" applyBorder="1" applyAlignment="1">
      <alignment horizontal="center" vertical="center"/>
    </xf>
    <xf numFmtId="164" fontId="28" fillId="0" borderId="0" xfId="37" applyNumberFormat="1" applyFont="1" applyBorder="1" applyAlignment="1">
      <alignment vertical="center"/>
    </xf>
    <xf numFmtId="164" fontId="47" fillId="0" borderId="0" xfId="55" applyNumberFormat="1" applyFont="1" applyBorder="1" applyAlignment="1">
      <alignment vertical="center"/>
    </xf>
    <xf numFmtId="164" fontId="49" fillId="0" borderId="0" xfId="37" applyNumberFormat="1" applyFont="1" applyBorder="1" applyAlignment="1">
      <alignment vertical="center"/>
    </xf>
    <xf numFmtId="168" fontId="30" fillId="0" borderId="10" xfId="0" applyNumberFormat="1" applyFont="1" applyBorder="1" applyAlignment="1">
      <alignment vertical="center"/>
    </xf>
    <xf numFmtId="168" fontId="28" fillId="0" borderId="12" xfId="0" applyNumberFormat="1" applyFont="1" applyBorder="1" applyAlignment="1">
      <alignment horizontal="center" vertical="center"/>
    </xf>
    <xf numFmtId="168" fontId="39" fillId="0" borderId="0" xfId="0" applyNumberFormat="1" applyFont="1" applyAlignment="1">
      <alignment vertical="center"/>
    </xf>
    <xf numFmtId="168" fontId="40" fillId="0" borderId="0" xfId="0" applyNumberFormat="1" applyFont="1" applyAlignment="1">
      <alignment vertical="center"/>
    </xf>
    <xf numFmtId="164" fontId="39" fillId="0" borderId="0" xfId="0" applyNumberFormat="1" applyFont="1" applyAlignment="1"/>
    <xf numFmtId="168" fontId="38" fillId="0" borderId="0" xfId="0" applyNumberFormat="1" applyFont="1"/>
    <xf numFmtId="168" fontId="34" fillId="0" borderId="0" xfId="0" applyNumberFormat="1" applyFont="1"/>
    <xf numFmtId="0" fontId="3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9" fontId="52" fillId="0" borderId="10" xfId="57" applyNumberFormat="1" applyFont="1" applyBorder="1" applyAlignment="1">
      <alignment vertical="center"/>
    </xf>
    <xf numFmtId="168" fontId="28" fillId="0" borderId="0" xfId="0" applyNumberFormat="1" applyFont="1" applyBorder="1" applyAlignment="1">
      <alignment vertical="center"/>
    </xf>
    <xf numFmtId="168" fontId="30" fillId="0" borderId="12" xfId="0" applyNumberFormat="1" applyFont="1" applyBorder="1" applyAlignment="1">
      <alignment horizontal="center" vertical="center" wrapText="1"/>
    </xf>
    <xf numFmtId="168" fontId="30" fillId="0" borderId="13" xfId="0" applyNumberFormat="1" applyFont="1" applyBorder="1" applyAlignment="1">
      <alignment horizontal="center" vertical="center" wrapText="1"/>
    </xf>
    <xf numFmtId="168" fontId="30" fillId="0" borderId="0" xfId="0" applyNumberFormat="1" applyFont="1" applyAlignment="1">
      <alignment horizontal="center" vertical="center" wrapText="1"/>
    </xf>
    <xf numFmtId="168" fontId="30" fillId="0" borderId="17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8" fontId="28" fillId="0" borderId="12" xfId="0" applyNumberFormat="1" applyFont="1" applyBorder="1" applyAlignment="1">
      <alignment vertical="center"/>
    </xf>
    <xf numFmtId="168" fontId="28" fillId="0" borderId="13" xfId="0" applyNumberFormat="1" applyFont="1" applyBorder="1" applyAlignment="1">
      <alignment vertical="center"/>
    </xf>
    <xf numFmtId="168" fontId="28" fillId="0" borderId="0" xfId="0" applyNumberFormat="1" applyFont="1" applyBorder="1" applyAlignment="1">
      <alignment horizontal="center" vertical="center"/>
    </xf>
    <xf numFmtId="0" fontId="64" fillId="26" borderId="0" xfId="0" applyFont="1" applyFill="1" applyAlignment="1">
      <alignment vertical="center"/>
    </xf>
    <xf numFmtId="0" fontId="28" fillId="26" borderId="0" xfId="0" applyFont="1" applyFill="1" applyAlignment="1">
      <alignment horizontal="center" vertical="center"/>
    </xf>
    <xf numFmtId="168" fontId="28" fillId="26" borderId="0" xfId="0" applyNumberFormat="1" applyFont="1" applyFill="1" applyAlignment="1">
      <alignment vertical="center"/>
    </xf>
    <xf numFmtId="168" fontId="28" fillId="26" borderId="0" xfId="0" applyNumberFormat="1" applyFont="1" applyFill="1" applyBorder="1" applyAlignment="1">
      <alignment vertical="center"/>
    </xf>
    <xf numFmtId="0" fontId="64" fillId="26" borderId="0" xfId="0" applyNumberFormat="1" applyFont="1" applyFill="1" applyAlignment="1">
      <alignment vertical="center"/>
    </xf>
    <xf numFmtId="168" fontId="28" fillId="0" borderId="0" xfId="0" applyNumberFormat="1" applyFont="1" applyFill="1" applyAlignment="1">
      <alignment vertical="center"/>
    </xf>
    <xf numFmtId="168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Alignment="1">
      <alignment vertical="center"/>
    </xf>
    <xf numFmtId="168" fontId="35" fillId="0" borderId="0" xfId="0" applyNumberFormat="1" applyFont="1" applyAlignment="1">
      <alignment horizontal="left" vertical="center"/>
    </xf>
    <xf numFmtId="168" fontId="33" fillId="24" borderId="0" xfId="0" applyNumberFormat="1" applyFont="1" applyFill="1" applyAlignment="1">
      <alignment vertical="center"/>
    </xf>
    <xf numFmtId="0" fontId="28" fillId="0" borderId="0" xfId="37" applyFont="1" applyAlignment="1">
      <alignment vertical="center"/>
    </xf>
    <xf numFmtId="168" fontId="35" fillId="0" borderId="10" xfId="0" applyNumberFormat="1" applyFont="1" applyBorder="1" applyAlignment="1">
      <alignment vertical="center"/>
    </xf>
    <xf numFmtId="168" fontId="28" fillId="0" borderId="10" xfId="0" applyNumberFormat="1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5" fillId="0" borderId="0" xfId="0" applyNumberFormat="1" applyFont="1" applyBorder="1" applyAlignment="1">
      <alignment vertical="center"/>
    </xf>
    <xf numFmtId="0" fontId="26" fillId="0" borderId="0" xfId="37" applyFont="1" applyFill="1" applyAlignment="1">
      <alignment vertical="center"/>
    </xf>
    <xf numFmtId="168" fontId="33" fillId="0" borderId="11" xfId="0" applyNumberFormat="1" applyFont="1" applyBorder="1" applyAlignment="1">
      <alignment vertical="center"/>
    </xf>
    <xf numFmtId="168" fontId="39" fillId="0" borderId="12" xfId="0" applyNumberFormat="1" applyFont="1" applyBorder="1" applyAlignment="1">
      <alignment vertical="center"/>
    </xf>
    <xf numFmtId="164" fontId="26" fillId="0" borderId="0" xfId="37" applyNumberFormat="1" applyFont="1" applyFill="1" applyAlignment="1">
      <alignment vertical="center"/>
    </xf>
    <xf numFmtId="0" fontId="30" fillId="0" borderId="12" xfId="0" applyFont="1" applyBorder="1" applyAlignment="1">
      <alignment vertical="center"/>
    </xf>
    <xf numFmtId="168" fontId="28" fillId="27" borderId="0" xfId="0" applyNumberFormat="1" applyFont="1" applyFill="1" applyAlignment="1">
      <alignment vertical="center"/>
    </xf>
    <xf numFmtId="168" fontId="30" fillId="27" borderId="0" xfId="0" applyNumberFormat="1" applyFont="1" applyFill="1" applyAlignment="1">
      <alignment horizontal="center" vertical="center" wrapText="1"/>
    </xf>
    <xf numFmtId="168" fontId="30" fillId="27" borderId="0" xfId="0" applyNumberFormat="1" applyFont="1" applyFill="1" applyAlignment="1">
      <alignment vertical="center"/>
    </xf>
    <xf numFmtId="168" fontId="28" fillId="27" borderId="0" xfId="0" applyNumberFormat="1" applyFont="1" applyFill="1" applyBorder="1" applyAlignment="1">
      <alignment vertical="center"/>
    </xf>
    <xf numFmtId="169" fontId="28" fillId="0" borderId="12" xfId="0" applyNumberFormat="1" applyFont="1" applyBorder="1" applyAlignment="1">
      <alignment vertical="center"/>
    </xf>
    <xf numFmtId="0" fontId="43" fillId="0" borderId="0" xfId="0" applyFont="1"/>
    <xf numFmtId="168" fontId="40" fillId="0" borderId="12" xfId="0" applyNumberFormat="1" applyFont="1" applyBorder="1" applyAlignment="1">
      <alignment horizontal="center" vertical="center" wrapText="1"/>
    </xf>
    <xf numFmtId="169" fontId="39" fillId="0" borderId="12" xfId="0" applyNumberFormat="1" applyFont="1" applyBorder="1" applyAlignment="1">
      <alignment vertical="center"/>
    </xf>
    <xf numFmtId="168" fontId="28" fillId="0" borderId="0" xfId="0" applyNumberFormat="1" applyFont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166" fontId="22" fillId="0" borderId="0" xfId="57" applyNumberFormat="1" applyFont="1" applyBorder="1" applyAlignment="1">
      <alignment vertical="center"/>
    </xf>
    <xf numFmtId="10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44" fontId="28" fillId="0" borderId="0" xfId="59" applyFont="1" applyAlignment="1">
      <alignment vertical="center"/>
    </xf>
    <xf numFmtId="0" fontId="34" fillId="0" borderId="0" xfId="55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33" fillId="0" borderId="0" xfId="55" applyFont="1" applyAlignment="1">
      <alignment vertical="center"/>
    </xf>
    <xf numFmtId="0" fontId="34" fillId="0" borderId="0" xfId="55" applyFont="1" applyAlignment="1">
      <alignment vertical="center"/>
    </xf>
    <xf numFmtId="1" fontId="33" fillId="0" borderId="0" xfId="0" applyNumberFormat="1" applyFont="1" applyAlignment="1">
      <alignment vertical="center"/>
    </xf>
    <xf numFmtId="164" fontId="34" fillId="0" borderId="0" xfId="37" applyNumberFormat="1" applyFont="1" applyAlignment="1">
      <alignment vertical="center"/>
    </xf>
    <xf numFmtId="164" fontId="33" fillId="0" borderId="0" xfId="37" applyNumberFormat="1" applyFont="1" applyAlignment="1">
      <alignment vertical="center"/>
    </xf>
    <xf numFmtId="0" fontId="33" fillId="0" borderId="0" xfId="0" applyFont="1" applyAlignment="1">
      <alignment vertical="center"/>
    </xf>
    <xf numFmtId="164" fontId="34" fillId="0" borderId="0" xfId="55" applyNumberFormat="1" applyFont="1" applyAlignment="1">
      <alignment vertical="center"/>
    </xf>
    <xf numFmtId="164" fontId="33" fillId="0" borderId="0" xfId="55" applyNumberFormat="1" applyFont="1" applyAlignment="1">
      <alignment vertical="center"/>
    </xf>
    <xf numFmtId="164" fontId="52" fillId="0" borderId="0" xfId="55" applyNumberFormat="1" applyFont="1" applyAlignment="1">
      <alignment vertical="center"/>
    </xf>
    <xf numFmtId="164" fontId="54" fillId="0" borderId="0" xfId="55" applyNumberFormat="1" applyFont="1" applyAlignment="1">
      <alignment vertical="center"/>
    </xf>
    <xf numFmtId="0" fontId="34" fillId="0" borderId="0" xfId="0" applyFont="1"/>
    <xf numFmtId="0" fontId="67" fillId="0" borderId="0" xfId="37" applyFont="1" applyAlignment="1">
      <alignment vertical="center"/>
    </xf>
    <xf numFmtId="0" fontId="33" fillId="0" borderId="0" xfId="37" applyFont="1" applyAlignment="1">
      <alignment vertical="center"/>
    </xf>
    <xf numFmtId="0" fontId="67" fillId="0" borderId="0" xfId="0" applyFont="1"/>
    <xf numFmtId="0" fontId="34" fillId="0" borderId="0" xfId="37" applyFont="1" applyAlignment="1">
      <alignment vertical="center"/>
    </xf>
    <xf numFmtId="164" fontId="34" fillId="0" borderId="0" xfId="55" applyNumberFormat="1" applyFont="1" applyBorder="1"/>
    <xf numFmtId="168" fontId="34" fillId="0" borderId="0" xfId="0" applyNumberFormat="1" applyFont="1" applyBorder="1"/>
    <xf numFmtId="168" fontId="34" fillId="0" borderId="0" xfId="55" applyNumberFormat="1" applyFont="1" applyBorder="1"/>
    <xf numFmtId="164" fontId="34" fillId="0" borderId="0" xfId="0" applyNumberFormat="1" applyFont="1" applyBorder="1"/>
    <xf numFmtId="168" fontId="34" fillId="0" borderId="0" xfId="57" applyNumberFormat="1" applyFont="1" applyBorder="1"/>
    <xf numFmtId="168" fontId="33" fillId="0" borderId="0" xfId="55" applyNumberFormat="1" applyFont="1" applyFill="1" applyBorder="1"/>
    <xf numFmtId="0" fontId="28" fillId="28" borderId="0" xfId="0" applyFont="1" applyFill="1"/>
    <xf numFmtId="0" fontId="33" fillId="28" borderId="0" xfId="0" applyFont="1" applyFill="1"/>
    <xf numFmtId="164" fontId="33" fillId="28" borderId="0" xfId="55" applyNumberFormat="1" applyFont="1" applyFill="1" applyAlignment="1">
      <alignment vertical="center"/>
    </xf>
    <xf numFmtId="168" fontId="28" fillId="28" borderId="0" xfId="0" applyNumberFormat="1" applyFont="1" applyFill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0" xfId="0" applyFont="1"/>
    <xf numFmtId="164" fontId="28" fillId="28" borderId="0" xfId="0" applyNumberFormat="1" applyFont="1" applyFill="1" applyAlignment="1">
      <alignment vertical="center"/>
    </xf>
    <xf numFmtId="164" fontId="54" fillId="28" borderId="0" xfId="55" applyNumberFormat="1" applyFont="1" applyFill="1" applyAlignment="1">
      <alignment vertical="center"/>
    </xf>
    <xf numFmtId="168" fontId="28" fillId="28" borderId="0" xfId="57" applyNumberFormat="1" applyFont="1" applyFill="1" applyAlignment="1">
      <alignment vertical="center"/>
    </xf>
    <xf numFmtId="168" fontId="28" fillId="28" borderId="0" xfId="57" applyNumberFormat="1" applyFont="1" applyFill="1"/>
    <xf numFmtId="168" fontId="28" fillId="28" borderId="0" xfId="0" applyNumberFormat="1" applyFont="1" applyFill="1"/>
    <xf numFmtId="168" fontId="55" fillId="28" borderId="0" xfId="57" applyNumberFormat="1" applyFont="1" applyFill="1" applyAlignment="1">
      <alignment vertical="center"/>
    </xf>
    <xf numFmtId="0" fontId="22" fillId="0" borderId="0" xfId="55" applyFont="1" applyBorder="1" applyAlignment="1">
      <alignment vertical="center"/>
    </xf>
    <xf numFmtId="1" fontId="34" fillId="0" borderId="0" xfId="0" applyNumberFormat="1" applyFont="1" applyAlignment="1">
      <alignment vertical="center"/>
    </xf>
    <xf numFmtId="0" fontId="40" fillId="0" borderId="0" xfId="0" applyFont="1"/>
    <xf numFmtId="168" fontId="72" fillId="0" borderId="12" xfId="0" applyNumberFormat="1" applyFont="1" applyBorder="1" applyAlignment="1">
      <alignment horizontal="center" vertical="center" wrapText="1"/>
    </xf>
    <xf numFmtId="164" fontId="33" fillId="0" borderId="0" xfId="37" applyNumberFormat="1" applyFont="1" applyFill="1" applyAlignment="1">
      <alignment vertical="center"/>
    </xf>
    <xf numFmtId="168" fontId="72" fillId="0" borderId="17" xfId="0" applyNumberFormat="1" applyFont="1" applyBorder="1" applyAlignment="1">
      <alignment horizontal="center" vertical="center" wrapText="1"/>
    </xf>
    <xf numFmtId="168" fontId="28" fillId="29" borderId="12" xfId="0" applyNumberFormat="1" applyFont="1" applyFill="1" applyBorder="1" applyAlignment="1">
      <alignment vertical="center"/>
    </xf>
    <xf numFmtId="9" fontId="28" fillId="29" borderId="12" xfId="58" applyFont="1" applyFill="1" applyBorder="1" applyAlignment="1">
      <alignment horizontal="center" vertical="center"/>
    </xf>
    <xf numFmtId="164" fontId="26" fillId="0" borderId="0" xfId="55" applyNumberFormat="1" applyFont="1"/>
    <xf numFmtId="164" fontId="28" fillId="0" borderId="0" xfId="55" applyNumberFormat="1" applyFont="1"/>
    <xf numFmtId="0" fontId="24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33" fillId="0" borderId="0" xfId="37" applyFont="1" applyFill="1" applyAlignment="1">
      <alignment vertical="center"/>
    </xf>
    <xf numFmtId="0" fontId="34" fillId="0" borderId="0" xfId="37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164" fontId="34" fillId="0" borderId="0" xfId="37" applyNumberFormat="1" applyFont="1" applyFill="1" applyAlignment="1">
      <alignment vertical="center"/>
    </xf>
    <xf numFmtId="164" fontId="33" fillId="0" borderId="0" xfId="55" applyNumberFormat="1" applyFont="1" applyFill="1" applyAlignment="1">
      <alignment vertical="center"/>
    </xf>
    <xf numFmtId="168" fontId="34" fillId="0" borderId="0" xfId="57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68" fontId="40" fillId="0" borderId="0" xfId="0" applyNumberFormat="1" applyFont="1" applyFill="1" applyBorder="1" applyAlignment="1">
      <alignment horizontal="center" vertical="center"/>
    </xf>
    <xf numFmtId="168" fontId="39" fillId="0" borderId="0" xfId="0" applyNumberFormat="1" applyFont="1" applyFill="1" applyBorder="1" applyAlignment="1">
      <alignment vertical="center"/>
    </xf>
    <xf numFmtId="168" fontId="39" fillId="0" borderId="0" xfId="0" applyNumberFormat="1" applyFont="1" applyFill="1" applyBorder="1"/>
    <xf numFmtId="0" fontId="39" fillId="0" borderId="0" xfId="0" applyFont="1" applyFill="1" applyBorder="1" applyAlignment="1">
      <alignment vertical="center"/>
    </xf>
    <xf numFmtId="168" fontId="40" fillId="0" borderId="0" xfId="0" applyNumberFormat="1" applyFont="1" applyFill="1" applyBorder="1" applyAlignment="1">
      <alignment vertical="center"/>
    </xf>
    <xf numFmtId="1" fontId="33" fillId="0" borderId="0" xfId="0" applyNumberFormat="1" applyFont="1" applyFill="1" applyAlignment="1">
      <alignment vertical="center"/>
    </xf>
    <xf numFmtId="0" fontId="33" fillId="0" borderId="0" xfId="55" applyFont="1" applyFill="1" applyAlignment="1">
      <alignment vertical="center"/>
    </xf>
    <xf numFmtId="0" fontId="34" fillId="0" borderId="0" xfId="55" applyFont="1" applyFill="1" applyAlignment="1">
      <alignment vertical="center"/>
    </xf>
    <xf numFmtId="164" fontId="34" fillId="0" borderId="0" xfId="55" applyNumberFormat="1" applyFont="1" applyFill="1" applyAlignment="1">
      <alignment vertical="center"/>
    </xf>
    <xf numFmtId="0" fontId="33" fillId="0" borderId="0" xfId="0" applyFont="1" applyFill="1"/>
    <xf numFmtId="164" fontId="52" fillId="0" borderId="0" xfId="55" applyNumberFormat="1" applyFont="1" applyFill="1" applyAlignment="1">
      <alignment vertical="center"/>
    </xf>
    <xf numFmtId="164" fontId="54" fillId="0" borderId="0" xfId="55" applyNumberFormat="1" applyFont="1" applyFill="1" applyAlignment="1">
      <alignment vertical="center"/>
    </xf>
    <xf numFmtId="168" fontId="52" fillId="0" borderId="0" xfId="57" applyNumberFormat="1" applyFont="1" applyFill="1" applyBorder="1" applyAlignment="1">
      <alignment vertical="center"/>
    </xf>
    <xf numFmtId="0" fontId="34" fillId="0" borderId="0" xfId="0" applyFont="1" applyFill="1"/>
    <xf numFmtId="0" fontId="67" fillId="0" borderId="0" xfId="37" applyFont="1" applyFill="1" applyAlignment="1">
      <alignment vertical="center"/>
    </xf>
    <xf numFmtId="0" fontId="67" fillId="0" borderId="0" xfId="0" applyFont="1" applyFill="1"/>
    <xf numFmtId="0" fontId="34" fillId="0" borderId="0" xfId="0" applyFont="1" applyFill="1" applyBorder="1" applyAlignment="1">
      <alignment vertical="center"/>
    </xf>
    <xf numFmtId="168" fontId="33" fillId="0" borderId="0" xfId="0" applyNumberFormat="1" applyFont="1" applyFill="1" applyBorder="1" applyAlignment="1">
      <alignment vertical="center"/>
    </xf>
    <xf numFmtId="0" fontId="26" fillId="0" borderId="0" xfId="55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8" fontId="54" fillId="0" borderId="0" xfId="57" applyNumberFormat="1" applyFont="1" applyFill="1" applyAlignment="1">
      <alignment vertical="center"/>
    </xf>
    <xf numFmtId="168" fontId="33" fillId="0" borderId="0" xfId="0" applyNumberFormat="1" applyFont="1" applyFill="1" applyAlignment="1">
      <alignment vertical="center"/>
    </xf>
    <xf numFmtId="166" fontId="28" fillId="0" borderId="0" xfId="57" applyNumberFormat="1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68" fontId="33" fillId="0" borderId="10" xfId="0" applyNumberFormat="1" applyFont="1" applyFill="1" applyBorder="1" applyAlignment="1">
      <alignment vertical="center"/>
    </xf>
    <xf numFmtId="168" fontId="34" fillId="0" borderId="10" xfId="57" applyNumberFormat="1" applyFont="1" applyFill="1" applyBorder="1" applyAlignment="1">
      <alignment vertical="center"/>
    </xf>
    <xf numFmtId="164" fontId="33" fillId="0" borderId="10" xfId="0" applyNumberFormat="1" applyFont="1" applyFill="1" applyBorder="1"/>
    <xf numFmtId="164" fontId="34" fillId="0" borderId="10" xfId="55" applyNumberFormat="1" applyFont="1" applyFill="1" applyBorder="1"/>
    <xf numFmtId="168" fontId="34" fillId="0" borderId="10" xfId="0" applyNumberFormat="1" applyFont="1" applyFill="1" applyBorder="1"/>
    <xf numFmtId="168" fontId="34" fillId="0" borderId="10" xfId="55" applyNumberFormat="1" applyFont="1" applyFill="1" applyBorder="1"/>
    <xf numFmtId="168" fontId="52" fillId="0" borderId="10" xfId="57" applyNumberFormat="1" applyFont="1" applyFill="1" applyBorder="1" applyAlignment="1">
      <alignment vertical="center"/>
    </xf>
    <xf numFmtId="164" fontId="34" fillId="0" borderId="10" xfId="0" applyNumberFormat="1" applyFont="1" applyFill="1" applyBorder="1"/>
    <xf numFmtId="168" fontId="34" fillId="0" borderId="10" xfId="57" applyNumberFormat="1" applyFont="1" applyFill="1" applyBorder="1"/>
    <xf numFmtId="168" fontId="33" fillId="0" borderId="10" xfId="0" applyNumberFormat="1" applyFont="1" applyFill="1" applyBorder="1"/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27" fillId="0" borderId="0" xfId="55" applyNumberFormat="1" applyFont="1" applyAlignment="1">
      <alignment vertical="center"/>
    </xf>
    <xf numFmtId="168" fontId="33" fillId="28" borderId="0" xfId="57" applyNumberFormat="1" applyFont="1" applyFill="1" applyAlignment="1">
      <alignment vertical="center"/>
    </xf>
    <xf numFmtId="0" fontId="74" fillId="0" borderId="0" xfId="0" applyFont="1"/>
    <xf numFmtId="168" fontId="28" fillId="0" borderId="0" xfId="57" applyNumberFormat="1" applyFont="1" applyFill="1" applyAlignment="1">
      <alignment vertical="center"/>
    </xf>
    <xf numFmtId="168" fontId="30" fillId="0" borderId="10" xfId="57" applyNumberFormat="1" applyFont="1" applyFill="1" applyBorder="1" applyAlignment="1">
      <alignment vertical="center"/>
    </xf>
    <xf numFmtId="168" fontId="30" fillId="0" borderId="0" xfId="57" applyNumberFormat="1" applyFont="1" applyFill="1" applyBorder="1" applyAlignment="1">
      <alignment vertical="center"/>
    </xf>
    <xf numFmtId="0" fontId="75" fillId="0" borderId="33" xfId="0" applyFont="1" applyBorder="1" applyAlignment="1">
      <alignment vertical="center"/>
    </xf>
    <xf numFmtId="167" fontId="75" fillId="28" borderId="33" xfId="58" applyNumberFormat="1" applyFont="1" applyFill="1" applyBorder="1" applyAlignment="1">
      <alignment horizontal="center" vertical="center"/>
    </xf>
    <xf numFmtId="10" fontId="28" fillId="0" borderId="0" xfId="58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/>
    <xf numFmtId="168" fontId="28" fillId="0" borderId="0" xfId="57" applyNumberFormat="1" applyFont="1" applyFill="1"/>
    <xf numFmtId="168" fontId="28" fillId="0" borderId="0" xfId="0" applyNumberFormat="1" applyFont="1" applyFill="1"/>
    <xf numFmtId="168" fontId="30" fillId="0" borderId="10" xfId="0" applyNumberFormat="1" applyFont="1" applyFill="1" applyBorder="1"/>
    <xf numFmtId="168" fontId="28" fillId="0" borderId="0" xfId="0" applyNumberFormat="1" applyFont="1" applyFill="1" applyBorder="1"/>
    <xf numFmtId="164" fontId="35" fillId="0" borderId="0" xfId="0" applyNumberFormat="1" applyFont="1"/>
    <xf numFmtId="0" fontId="28" fillId="0" borderId="0" xfId="0" applyFont="1" applyFill="1"/>
    <xf numFmtId="164" fontId="30" fillId="0" borderId="10" xfId="0" applyNumberFormat="1" applyFont="1" applyFill="1" applyBorder="1"/>
    <xf numFmtId="164" fontId="28" fillId="0" borderId="0" xfId="0" applyNumberFormat="1" applyFont="1" applyFill="1" applyBorder="1"/>
    <xf numFmtId="168" fontId="55" fillId="0" borderId="0" xfId="57" applyNumberFormat="1" applyFont="1" applyFill="1" applyAlignment="1">
      <alignment vertical="center"/>
    </xf>
    <xf numFmtId="168" fontId="50" fillId="0" borderId="10" xfId="57" applyNumberFormat="1" applyFont="1" applyFill="1" applyBorder="1" applyAlignment="1">
      <alignment vertical="center"/>
    </xf>
    <xf numFmtId="168" fontId="50" fillId="0" borderId="0" xfId="57" applyNumberFormat="1" applyFont="1" applyFill="1" applyBorder="1" applyAlignment="1">
      <alignment vertical="center"/>
    </xf>
    <xf numFmtId="164" fontId="55" fillId="30" borderId="0" xfId="55" applyNumberFormat="1" applyFont="1" applyFill="1" applyAlignment="1">
      <alignment vertical="center"/>
    </xf>
    <xf numFmtId="168" fontId="53" fillId="30" borderId="0" xfId="57" applyNumberFormat="1" applyFont="1" applyFill="1" applyAlignment="1">
      <alignment vertical="center"/>
    </xf>
    <xf numFmtId="168" fontId="33" fillId="30" borderId="0" xfId="57" applyNumberFormat="1" applyFont="1" applyFill="1" applyAlignment="1">
      <alignment vertical="center"/>
    </xf>
    <xf numFmtId="164" fontId="33" fillId="30" borderId="0" xfId="55" applyNumberFormat="1" applyFont="1" applyFill="1" applyAlignment="1">
      <alignment vertical="center"/>
    </xf>
    <xf numFmtId="168" fontId="55" fillId="30" borderId="0" xfId="57" applyNumberFormat="1" applyFont="1" applyFill="1" applyAlignment="1">
      <alignment vertical="center"/>
    </xf>
    <xf numFmtId="168" fontId="55" fillId="30" borderId="0" xfId="0" applyNumberFormat="1" applyFont="1" applyFill="1" applyAlignment="1">
      <alignment vertical="center"/>
    </xf>
    <xf numFmtId="168" fontId="53" fillId="30" borderId="0" xfId="0" applyNumberFormat="1" applyFont="1" applyFill="1" applyAlignment="1">
      <alignment vertical="center"/>
    </xf>
    <xf numFmtId="168" fontId="54" fillId="30" borderId="0" xfId="57" applyNumberFormat="1" applyFont="1" applyFill="1" applyAlignment="1">
      <alignment vertical="center"/>
    </xf>
    <xf numFmtId="164" fontId="28" fillId="30" borderId="0" xfId="0" applyNumberFormat="1" applyFont="1" applyFill="1"/>
    <xf numFmtId="166" fontId="55" fillId="30" borderId="0" xfId="57" applyNumberFormat="1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28" fillId="30" borderId="0" xfId="0" applyFont="1" applyFill="1"/>
    <xf numFmtId="168" fontId="55" fillId="0" borderId="0" xfId="0" applyNumberFormat="1" applyFont="1" applyFill="1" applyAlignment="1">
      <alignment vertical="center"/>
    </xf>
    <xf numFmtId="164" fontId="55" fillId="0" borderId="0" xfId="55" applyNumberFormat="1" applyFont="1" applyFill="1" applyAlignment="1">
      <alignment vertical="center"/>
    </xf>
    <xf numFmtId="168" fontId="27" fillId="0" borderId="10" xfId="55" applyNumberFormat="1" applyFont="1" applyFill="1" applyBorder="1"/>
    <xf numFmtId="164" fontId="28" fillId="0" borderId="10" xfId="0" applyNumberFormat="1" applyFont="1" applyFill="1" applyBorder="1"/>
    <xf numFmtId="0" fontId="0" fillId="0" borderId="0" xfId="0" applyBorder="1" applyAlignment="1">
      <alignment vertical="center" wrapText="1"/>
    </xf>
    <xf numFmtId="168" fontId="30" fillId="0" borderId="1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168" fontId="26" fillId="0" borderId="10" xfId="55" applyNumberFormat="1" applyFont="1" applyBorder="1"/>
    <xf numFmtId="168" fontId="35" fillId="0" borderId="10" xfId="55" applyNumberFormat="1" applyFont="1" applyBorder="1"/>
    <xf numFmtId="168" fontId="33" fillId="0" borderId="10" xfId="55" applyNumberFormat="1" applyFont="1" applyBorder="1"/>
    <xf numFmtId="168" fontId="33" fillId="28" borderId="0" xfId="0" applyNumberFormat="1" applyFont="1" applyFill="1"/>
    <xf numFmtId="168" fontId="33" fillId="28" borderId="0" xfId="0" applyNumberFormat="1" applyFont="1" applyFill="1" applyAlignment="1">
      <alignment vertical="center"/>
    </xf>
    <xf numFmtId="168" fontId="28" fillId="0" borderId="10" xfId="0" applyNumberFormat="1" applyFont="1" applyFill="1" applyBorder="1" applyAlignment="1">
      <alignment vertical="center"/>
    </xf>
    <xf numFmtId="168" fontId="28" fillId="0" borderId="10" xfId="0" applyNumberFormat="1" applyFont="1" applyFill="1" applyBorder="1"/>
    <xf numFmtId="168" fontId="33" fillId="0" borderId="0" xfId="57" applyNumberFormat="1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68" fillId="0" borderId="33" xfId="0" applyFont="1" applyBorder="1" applyAlignment="1">
      <alignment vertical="center"/>
    </xf>
    <xf numFmtId="0" fontId="68" fillId="0" borderId="33" xfId="0" applyFont="1" applyBorder="1"/>
    <xf numFmtId="0" fontId="30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164" fontId="28" fillId="0" borderId="0" xfId="0" applyNumberFormat="1" applyFont="1" applyFill="1" applyAlignment="1">
      <alignment vertical="center"/>
    </xf>
    <xf numFmtId="1" fontId="28" fillId="0" borderId="0" xfId="0" applyNumberFormat="1" applyFont="1"/>
    <xf numFmtId="166" fontId="28" fillId="0" borderId="0" xfId="57" applyNumberFormat="1" applyFont="1"/>
    <xf numFmtId="166" fontId="33" fillId="0" borderId="0" xfId="57" applyNumberFormat="1" applyFont="1" applyFill="1"/>
    <xf numFmtId="166" fontId="33" fillId="0" borderId="0" xfId="57" applyNumberFormat="1" applyFont="1"/>
    <xf numFmtId="166" fontId="33" fillId="0" borderId="0" xfId="0" applyNumberFormat="1" applyFont="1" applyFill="1" applyAlignment="1">
      <alignment vertical="center"/>
    </xf>
    <xf numFmtId="166" fontId="33" fillId="0" borderId="0" xfId="57" applyNumberFormat="1" applyFont="1" applyFill="1" applyAlignment="1">
      <alignment vertical="center"/>
    </xf>
    <xf numFmtId="166" fontId="34" fillId="0" borderId="0" xfId="57" applyNumberFormat="1" applyFont="1" applyFill="1" applyBorder="1" applyAlignment="1">
      <alignment vertical="center"/>
    </xf>
    <xf numFmtId="166" fontId="33" fillId="0" borderId="0" xfId="57" applyNumberFormat="1" applyFont="1" applyAlignment="1">
      <alignment vertical="center"/>
    </xf>
    <xf numFmtId="0" fontId="44" fillId="0" borderId="0" xfId="55" applyFont="1" applyFill="1" applyAlignment="1">
      <alignment vertical="center"/>
    </xf>
    <xf numFmtId="0" fontId="68" fillId="0" borderId="0" xfId="0" applyFont="1" applyFill="1" applyBorder="1" applyAlignment="1">
      <alignment horizontal="center"/>
    </xf>
    <xf numFmtId="0" fontId="34" fillId="0" borderId="0" xfId="55" applyFont="1" applyFill="1" applyAlignment="1">
      <alignment horizontal="center" vertical="center" wrapText="1"/>
    </xf>
    <xf numFmtId="168" fontId="35" fillId="0" borderId="0" xfId="0" applyNumberFormat="1" applyFont="1" applyFill="1" applyAlignment="1">
      <alignment horizontal="left" vertical="center"/>
    </xf>
    <xf numFmtId="168" fontId="33" fillId="0" borderId="0" xfId="0" applyNumberFormat="1" applyFont="1" applyFill="1"/>
    <xf numFmtId="168" fontId="35" fillId="0" borderId="0" xfId="0" applyNumberFormat="1" applyFont="1" applyFill="1"/>
    <xf numFmtId="168" fontId="53" fillId="0" borderId="0" xfId="0" applyNumberFormat="1" applyFont="1" applyFill="1" applyAlignment="1">
      <alignment vertical="center"/>
    </xf>
    <xf numFmtId="164" fontId="33" fillId="0" borderId="0" xfId="0" applyNumberFormat="1" applyFont="1" applyFill="1" applyBorder="1"/>
    <xf numFmtId="164" fontId="34" fillId="0" borderId="0" xfId="55" applyNumberFormat="1" applyFont="1" applyFill="1" applyBorder="1"/>
    <xf numFmtId="164" fontId="30" fillId="0" borderId="0" xfId="55" applyNumberFormat="1" applyFont="1" applyFill="1" applyAlignment="1">
      <alignment vertical="center"/>
    </xf>
    <xf numFmtId="168" fontId="34" fillId="0" borderId="0" xfId="0" applyNumberFormat="1" applyFont="1" applyFill="1" applyBorder="1"/>
    <xf numFmtId="168" fontId="34" fillId="0" borderId="0" xfId="55" applyNumberFormat="1" applyFont="1" applyFill="1" applyBorder="1"/>
    <xf numFmtId="164" fontId="50" fillId="0" borderId="0" xfId="55" applyNumberFormat="1" applyFont="1" applyFill="1" applyAlignment="1">
      <alignment vertical="center"/>
    </xf>
    <xf numFmtId="164" fontId="34" fillId="0" borderId="0" xfId="0" applyNumberFormat="1" applyFont="1" applyFill="1" applyBorder="1"/>
    <xf numFmtId="166" fontId="28" fillId="0" borderId="0" xfId="57" applyNumberFormat="1" applyFont="1" applyFill="1"/>
    <xf numFmtId="0" fontId="36" fillId="0" borderId="0" xfId="0" applyFont="1" applyFill="1" applyAlignment="1">
      <alignment vertical="center"/>
    </xf>
    <xf numFmtId="0" fontId="36" fillId="0" borderId="0" xfId="0" applyFont="1" applyFill="1"/>
    <xf numFmtId="168" fontId="34" fillId="0" borderId="0" xfId="57" applyNumberFormat="1" applyFont="1" applyFill="1" applyBorder="1"/>
    <xf numFmtId="169" fontId="39" fillId="0" borderId="0" xfId="0" applyNumberFormat="1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168" fontId="28" fillId="0" borderId="39" xfId="0" applyNumberFormat="1" applyFont="1" applyBorder="1" applyAlignment="1">
      <alignment horizontal="center" vertical="center"/>
    </xf>
    <xf numFmtId="168" fontId="28" fillId="0" borderId="39" xfId="0" applyNumberFormat="1" applyFont="1" applyBorder="1" applyAlignment="1">
      <alignment vertical="center"/>
    </xf>
    <xf numFmtId="168" fontId="28" fillId="29" borderId="39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167" fontId="75" fillId="0" borderId="33" xfId="58" applyNumberFormat="1" applyFont="1" applyFill="1" applyBorder="1" applyAlignment="1">
      <alignment horizontal="center" vertical="center"/>
    </xf>
    <xf numFmtId="1" fontId="2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32" borderId="0" xfId="0" applyFill="1"/>
    <xf numFmtId="0" fontId="30" fillId="32" borderId="0" xfId="0" applyFont="1" applyFill="1" applyAlignment="1">
      <alignment horizontal="center" vertical="center"/>
    </xf>
    <xf numFmtId="0" fontId="30" fillId="32" borderId="0" xfId="0" quotePrefix="1" applyFont="1" applyFill="1" applyAlignment="1">
      <alignment horizontal="center" vertical="center"/>
    </xf>
    <xf numFmtId="0" fontId="0" fillId="32" borderId="0" xfId="0" quotePrefix="1" applyFill="1"/>
    <xf numFmtId="0" fontId="30" fillId="32" borderId="0" xfId="60" applyFont="1" applyFill="1" applyBorder="1" applyAlignment="1">
      <alignment horizontal="center" vertical="center"/>
    </xf>
    <xf numFmtId="168" fontId="28" fillId="28" borderId="12" xfId="0" applyNumberFormat="1" applyFont="1" applyFill="1" applyBorder="1" applyAlignment="1">
      <alignment vertical="center"/>
    </xf>
    <xf numFmtId="168" fontId="28" fillId="28" borderId="39" xfId="0" applyNumberFormat="1" applyFont="1" applyFill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30" fillId="32" borderId="0" xfId="0" applyFont="1" applyFill="1" applyAlignment="1">
      <alignment horizontal="center" vertical="center"/>
    </xf>
    <xf numFmtId="168" fontId="28" fillId="33" borderId="0" xfId="0" applyNumberFormat="1" applyFont="1" applyFill="1" applyAlignment="1">
      <alignment vertical="center"/>
    </xf>
    <xf numFmtId="168" fontId="55" fillId="24" borderId="0" xfId="57" applyNumberFormat="1" applyFont="1" applyFill="1" applyAlignment="1">
      <alignment vertical="center"/>
    </xf>
    <xf numFmtId="168" fontId="28" fillId="30" borderId="0" xfId="57" applyNumberFormat="1" applyFont="1" applyFill="1" applyAlignment="1">
      <alignment vertical="center"/>
    </xf>
    <xf numFmtId="168" fontId="28" fillId="0" borderId="0" xfId="57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28" fillId="24" borderId="0" xfId="0" applyNumberFormat="1" applyFont="1" applyFill="1" applyAlignment="1">
      <alignment vertical="center"/>
    </xf>
    <xf numFmtId="168" fontId="28" fillId="24" borderId="12" xfId="0" applyNumberFormat="1" applyFont="1" applyFill="1" applyBorder="1" applyAlignment="1">
      <alignment vertical="center"/>
    </xf>
    <xf numFmtId="168" fontId="28" fillId="24" borderId="39" xfId="0" applyNumberFormat="1" applyFont="1" applyFill="1" applyBorder="1" applyAlignment="1">
      <alignment vertical="center"/>
    </xf>
    <xf numFmtId="168" fontId="30" fillId="24" borderId="17" xfId="0" applyNumberFormat="1" applyFont="1" applyFill="1" applyBorder="1" applyAlignment="1">
      <alignment horizontal="center" vertical="center" wrapText="1"/>
    </xf>
    <xf numFmtId="168" fontId="35" fillId="24" borderId="0" xfId="0" applyNumberFormat="1" applyFont="1" applyFill="1" applyAlignment="1">
      <alignment vertical="center"/>
    </xf>
    <xf numFmtId="168" fontId="30" fillId="24" borderId="0" xfId="0" applyNumberFormat="1" applyFont="1" applyFill="1" applyBorder="1" applyAlignment="1">
      <alignment vertical="center"/>
    </xf>
    <xf numFmtId="168" fontId="35" fillId="24" borderId="0" xfId="0" applyNumberFormat="1" applyFont="1" applyFill="1" applyBorder="1" applyAlignment="1">
      <alignment vertical="center"/>
    </xf>
    <xf numFmtId="1" fontId="33" fillId="24" borderId="0" xfId="0" applyNumberFormat="1" applyFont="1" applyFill="1" applyAlignment="1">
      <alignment vertical="center"/>
    </xf>
    <xf numFmtId="1" fontId="28" fillId="24" borderId="0" xfId="0" applyNumberFormat="1" applyFont="1" applyFill="1" applyAlignment="1">
      <alignment vertical="center"/>
    </xf>
    <xf numFmtId="168" fontId="28" fillId="24" borderId="0" xfId="0" applyNumberFormat="1" applyFont="1" applyFill="1" applyBorder="1" applyAlignment="1">
      <alignment vertical="center"/>
    </xf>
    <xf numFmtId="168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68" fontId="3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8" fontId="3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28" fillId="0" borderId="21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8" fontId="28" fillId="0" borderId="21" xfId="0" quotePrefix="1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8" fontId="2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8" fontId="76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68" fontId="28" fillId="0" borderId="22" xfId="0" quotePrefix="1" applyNumberFormat="1" applyFont="1" applyBorder="1" applyAlignment="1">
      <alignment vertical="center" wrapText="1"/>
    </xf>
    <xf numFmtId="0" fontId="68" fillId="0" borderId="26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27" xfId="0" applyBorder="1" applyAlignment="1"/>
    <xf numFmtId="0" fontId="46" fillId="0" borderId="0" xfId="55" applyFont="1" applyBorder="1" applyAlignment="1">
      <alignment horizontal="center" vertical="center" wrapText="1"/>
    </xf>
    <xf numFmtId="0" fontId="34" fillId="31" borderId="29" xfId="0" applyFont="1" applyFill="1" applyBorder="1" applyAlignment="1">
      <alignment horizontal="center" vertical="center"/>
    </xf>
    <xf numFmtId="0" fontId="84" fillId="31" borderId="29" xfId="0" applyFont="1" applyFill="1" applyBorder="1" applyAlignment="1">
      <alignment horizontal="center" vertical="center"/>
    </xf>
    <xf numFmtId="0" fontId="73" fillId="0" borderId="30" xfId="55" applyFont="1" applyBorder="1" applyAlignment="1">
      <alignment horizontal="center" vertical="center"/>
    </xf>
    <xf numFmtId="0" fontId="0" fillId="0" borderId="31" xfId="0" applyBorder="1" applyAlignment="1"/>
    <xf numFmtId="0" fontId="0" fillId="0" borderId="32" xfId="0" applyBorder="1" applyAlignment="1"/>
    <xf numFmtId="0" fontId="68" fillId="0" borderId="30" xfId="0" applyFont="1" applyFill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36" xfId="0" applyFont="1" applyBorder="1" applyAlignment="1">
      <alignment vertical="center" wrapText="1"/>
    </xf>
    <xf numFmtId="0" fontId="79" fillId="0" borderId="37" xfId="0" applyFont="1" applyBorder="1" applyAlignment="1">
      <alignment vertical="center"/>
    </xf>
    <xf numFmtId="0" fontId="79" fillId="0" borderId="38" xfId="0" applyFont="1" applyBorder="1" applyAlignment="1">
      <alignment vertical="center"/>
    </xf>
    <xf numFmtId="0" fontId="38" fillId="0" borderId="0" xfId="55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50" fillId="0" borderId="35" xfId="0" applyFont="1" applyBorder="1" applyAlignment="1">
      <alignment horizontal="center" vertical="center"/>
    </xf>
    <xf numFmtId="0" fontId="80" fillId="0" borderId="35" xfId="0" applyFont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0" fillId="28" borderId="35" xfId="0" applyFont="1" applyFill="1" applyBorder="1" applyAlignment="1" applyProtection="1">
      <alignment horizontal="center" vertical="center"/>
      <protection locked="0"/>
    </xf>
    <xf numFmtId="0" fontId="80" fillId="28" borderId="35" xfId="0" applyFont="1" applyFill="1" applyBorder="1" applyAlignment="1" applyProtection="1">
      <alignment horizontal="center" vertical="center"/>
      <protection locked="0"/>
    </xf>
    <xf numFmtId="0" fontId="38" fillId="0" borderId="29" xfId="55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0" fillId="28" borderId="34" xfId="0" applyFont="1" applyFill="1" applyBorder="1" applyAlignment="1" applyProtection="1">
      <alignment horizontal="center" vertical="center"/>
      <protection locked="0"/>
    </xf>
    <xf numFmtId="0" fontId="80" fillId="0" borderId="34" xfId="0" applyFont="1" applyBorder="1" applyAlignment="1">
      <alignment vertical="center"/>
    </xf>
    <xf numFmtId="0" fontId="34" fillId="0" borderId="0" xfId="55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38" fillId="0" borderId="0" xfId="55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4" fillId="31" borderId="0" xfId="0" applyFont="1" applyFill="1" applyBorder="1" applyAlignment="1">
      <alignment horizontal="center" vertical="center"/>
    </xf>
    <xf numFmtId="0" fontId="34" fillId="31" borderId="0" xfId="0" applyFont="1" applyFill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0" fillId="32" borderId="0" xfId="0" applyFont="1" applyFill="1" applyAlignment="1">
      <alignment horizontal="center" vertical="center"/>
    </xf>
    <xf numFmtId="0" fontId="69" fillId="0" borderId="28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70" fillId="0" borderId="0" xfId="55" applyFont="1" applyFill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55" applyFont="1" applyFill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68" fillId="0" borderId="28" xfId="0" applyFont="1" applyBorder="1" applyAlignment="1"/>
    <xf numFmtId="0" fontId="68" fillId="0" borderId="27" xfId="0" applyFont="1" applyBorder="1" applyAlignment="1"/>
    <xf numFmtId="0" fontId="74" fillId="0" borderId="0" xfId="0" applyFont="1" applyAlignment="1">
      <alignment vertical="center" wrapText="1"/>
    </xf>
    <xf numFmtId="0" fontId="73" fillId="0" borderId="26" xfId="55" applyFont="1" applyBorder="1" applyAlignment="1">
      <alignment horizontal="center" vertical="center"/>
    </xf>
    <xf numFmtId="0" fontId="68" fillId="0" borderId="27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83" fillId="31" borderId="0" xfId="0" applyFont="1" applyFill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3" fillId="0" borderId="26" xfId="37" applyFont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0" fontId="73" fillId="0" borderId="26" xfId="37" applyFont="1" applyBorder="1" applyAlignment="1">
      <alignment horizontal="center"/>
    </xf>
    <xf numFmtId="164" fontId="87" fillId="0" borderId="0" xfId="37" applyNumberFormat="1" applyFont="1" applyAlignment="1">
      <alignment vertical="center"/>
    </xf>
    <xf numFmtId="168" fontId="88" fillId="0" borderId="0" xfId="0" applyNumberFormat="1" applyFont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43" fontId="30" fillId="0" borderId="14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7" fontId="28" fillId="0" borderId="14" xfId="58" applyNumberFormat="1" applyFont="1" applyBorder="1" applyAlignment="1">
      <alignment horizontal="center" vertical="center"/>
    </xf>
    <xf numFmtId="170" fontId="28" fillId="0" borderId="12" xfId="0" applyNumberFormat="1" applyFont="1" applyBorder="1" applyAlignment="1">
      <alignment horizontal="center" vertical="center"/>
    </xf>
    <xf numFmtId="9" fontId="30" fillId="0" borderId="14" xfId="58" applyFont="1" applyBorder="1" applyAlignment="1">
      <alignment horizontal="center" vertical="center"/>
    </xf>
    <xf numFmtId="170" fontId="30" fillId="0" borderId="12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9" fillId="0" borderId="0" xfId="0" applyFont="1"/>
  </cellXfs>
  <cellStyles count="61">
    <cellStyle name="20% - Accent1" xfId="1" builtinId="30" customBuiltin="1"/>
    <cellStyle name="20% - Accent1 2" xfId="43" xr:uid="{00000000-0005-0000-0000-000001000000}"/>
    <cellStyle name="20% - Accent2" xfId="2" builtinId="34" customBuiltin="1"/>
    <cellStyle name="20% - Accent2 2" xfId="44" xr:uid="{00000000-0005-0000-0000-000003000000}"/>
    <cellStyle name="20% - Accent3" xfId="3" builtinId="38" customBuiltin="1"/>
    <cellStyle name="20% - Accent3 2" xfId="45" xr:uid="{00000000-0005-0000-0000-000005000000}"/>
    <cellStyle name="20% - Accent4" xfId="4" builtinId="42" customBuiltin="1"/>
    <cellStyle name="20% - Accent4 2" xfId="46" xr:uid="{00000000-0005-0000-0000-000007000000}"/>
    <cellStyle name="20% - Accent5" xfId="5" builtinId="46" customBuiltin="1"/>
    <cellStyle name="20% - Accent5 2" xfId="47" xr:uid="{00000000-0005-0000-0000-000009000000}"/>
    <cellStyle name="20% - Accent6" xfId="6" builtinId="50" customBuiltin="1"/>
    <cellStyle name="20% - Accent6 2" xfId="48" xr:uid="{00000000-0005-0000-0000-00000B000000}"/>
    <cellStyle name="40% - Accent1" xfId="7" builtinId="31" customBuiltin="1"/>
    <cellStyle name="40% - Accent1 2" xfId="49" xr:uid="{00000000-0005-0000-0000-00000D000000}"/>
    <cellStyle name="40% - Accent2" xfId="8" builtinId="35" customBuiltin="1"/>
    <cellStyle name="40% - Accent2 2" xfId="50" xr:uid="{00000000-0005-0000-0000-00000F000000}"/>
    <cellStyle name="40% - Accent3" xfId="9" builtinId="39" customBuiltin="1"/>
    <cellStyle name="40% - Accent3 2" xfId="51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3" xr:uid="{00000000-0005-0000-0000-000015000000}"/>
    <cellStyle name="40% - Accent6" xfId="12" builtinId="51" customBuiltin="1"/>
    <cellStyle name="40% - Accent6 2" xfId="54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7" builtinId="3"/>
    <cellStyle name="Currency" xfId="59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60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34000000}"/>
    <cellStyle name="Normal_Sheet1 2" xfId="55" xr:uid="{00000000-0005-0000-0000-000035000000}"/>
    <cellStyle name="Note" xfId="38" builtinId="10" customBuiltin="1"/>
    <cellStyle name="Note 2" xfId="56" xr:uid="{00000000-0005-0000-0000-000037000000}"/>
    <cellStyle name="Output" xfId="39" builtinId="21" customBuiltin="1"/>
    <cellStyle name="Percent" xfId="58" builtinId="5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ont>
        <color rgb="FF0070C0"/>
      </font>
    </dxf>
  </dxfs>
  <tableStyles count="0" defaultTableStyle="TableStyleMedium9" defaultPivotStyle="PivotStyleLight16"/>
  <colors>
    <mruColors>
      <color rgb="FFFFFFCC"/>
      <color rgb="FFEAE7DA"/>
      <color rgb="FFCCFF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%22%3C----------%20to%20%22@October%20----------%3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%22%3C----------%20to%20%22@October%20----------%3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Y256"/>
  <sheetViews>
    <sheetView showGridLines="0" topLeftCell="A7" zoomScaleNormal="100" workbookViewId="0">
      <selection activeCell="C17" sqref="C17"/>
    </sheetView>
  </sheetViews>
  <sheetFormatPr defaultColWidth="9.109375" defaultRowHeight="14.4" x14ac:dyDescent="0.25"/>
  <cols>
    <col min="1" max="1" width="22.6640625" style="182" customWidth="1"/>
    <col min="2" max="2" width="9.6640625" style="183" customWidth="1"/>
    <col min="3" max="3" width="11.6640625" style="447" customWidth="1"/>
    <col min="4" max="4" width="11.6640625" style="79" customWidth="1"/>
    <col min="5" max="5" width="11.6640625" style="87" customWidth="1"/>
    <col min="6" max="6" width="11.6640625" style="79" customWidth="1"/>
    <col min="7" max="7" width="2.6640625" style="79" customWidth="1"/>
    <col min="8" max="15" width="11.6640625" style="79" customWidth="1"/>
    <col min="16" max="16" width="5.6640625" style="79" customWidth="1"/>
    <col min="17" max="17" width="2.6640625" style="215" customWidth="1"/>
    <col min="18" max="18" width="5.6640625" style="79" customWidth="1"/>
    <col min="19" max="21" width="10.6640625" style="79" customWidth="1"/>
    <col min="22" max="22" width="2.6640625" style="79" customWidth="1"/>
    <col min="23" max="25" width="9.109375" style="79"/>
    <col min="26" max="16384" width="9.109375" style="182"/>
  </cols>
  <sheetData>
    <row r="1" spans="1:25" ht="25.8" x14ac:dyDescent="0.25">
      <c r="A1" s="194" t="s">
        <v>168</v>
      </c>
      <c r="B1" s="195"/>
      <c r="C1" s="196"/>
      <c r="D1" s="198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S1" s="194" t="s">
        <v>170</v>
      </c>
      <c r="T1" s="198"/>
      <c r="U1" s="198"/>
      <c r="V1" s="197"/>
      <c r="W1" s="196"/>
      <c r="X1" s="196"/>
    </row>
    <row r="2" spans="1:25" x14ac:dyDescent="0.25">
      <c r="C2" s="452"/>
      <c r="E2" s="79"/>
      <c r="W2" s="97">
        <f>X2/W20</f>
        <v>0.89417989417989419</v>
      </c>
      <c r="X2" s="79">
        <f>1690*1.2</f>
        <v>2028</v>
      </c>
    </row>
    <row r="3" spans="1:25" ht="30" customHeight="1" x14ac:dyDescent="0.25">
      <c r="A3" s="467" t="s">
        <v>212</v>
      </c>
      <c r="B3" s="468"/>
      <c r="C3" s="468"/>
      <c r="D3" s="468"/>
      <c r="E3" s="465"/>
      <c r="F3" s="466"/>
      <c r="H3" s="469" t="s">
        <v>207</v>
      </c>
      <c r="I3" s="470"/>
      <c r="J3" s="467" t="s">
        <v>215</v>
      </c>
      <c r="K3" s="468"/>
      <c r="L3" s="471"/>
      <c r="M3" s="471"/>
      <c r="N3" s="471"/>
      <c r="O3" s="470"/>
      <c r="S3" s="464" t="s">
        <v>197</v>
      </c>
      <c r="T3" s="465"/>
      <c r="U3" s="466"/>
      <c r="W3" s="462" t="s">
        <v>164</v>
      </c>
      <c r="X3" s="463"/>
    </row>
    <row r="4" spans="1:25" s="190" customFormat="1" ht="57.6" x14ac:dyDescent="0.25">
      <c r="A4" s="224"/>
      <c r="B4" s="224" t="s">
        <v>159</v>
      </c>
      <c r="C4" s="455" t="s">
        <v>238</v>
      </c>
      <c r="D4" s="189" t="s">
        <v>186</v>
      </c>
      <c r="E4" s="277" t="s">
        <v>190</v>
      </c>
      <c r="F4" s="189" t="s">
        <v>163</v>
      </c>
      <c r="G4" s="187"/>
      <c r="H4" s="186" t="s">
        <v>217</v>
      </c>
      <c r="I4" s="186" t="s">
        <v>163</v>
      </c>
      <c r="J4" s="186" t="s">
        <v>218</v>
      </c>
      <c r="K4" s="186" t="s">
        <v>210</v>
      </c>
      <c r="L4" s="275" t="s">
        <v>211</v>
      </c>
      <c r="M4" s="275" t="s">
        <v>224</v>
      </c>
      <c r="N4" s="275" t="s">
        <v>216</v>
      </c>
      <c r="O4" s="186" t="s">
        <v>163</v>
      </c>
      <c r="P4" s="188"/>
      <c r="Q4" s="216"/>
      <c r="R4" s="188"/>
      <c r="S4" s="186" t="s">
        <v>169</v>
      </c>
      <c r="T4" s="186" t="s">
        <v>163</v>
      </c>
      <c r="U4" s="221" t="s">
        <v>171</v>
      </c>
      <c r="V4" s="188"/>
      <c r="W4" s="384" t="s">
        <v>165</v>
      </c>
      <c r="X4" s="384" t="s">
        <v>101</v>
      </c>
      <c r="Y4" s="188"/>
    </row>
    <row r="5" spans="1:25" x14ac:dyDescent="0.25">
      <c r="A5" s="167" t="s">
        <v>161</v>
      </c>
      <c r="B5" s="175">
        <v>187</v>
      </c>
      <c r="C5" s="453">
        <v>18000</v>
      </c>
      <c r="D5" s="279">
        <v>1</v>
      </c>
      <c r="E5" s="278">
        <f t="shared" ref="E5:E19" si="0">C5*D5</f>
        <v>18000</v>
      </c>
      <c r="F5" s="191">
        <f t="shared" ref="F5:F19" si="1">E5/B5</f>
        <v>96.256684491978604</v>
      </c>
      <c r="G5" s="192"/>
      <c r="H5" s="191">
        <v>17488</v>
      </c>
      <c r="I5" s="191">
        <f t="shared" ref="I5:I19" si="2">H5/B5</f>
        <v>93.518716577540104</v>
      </c>
      <c r="J5" s="191">
        <v>-10787</v>
      </c>
      <c r="K5" s="191">
        <f t="shared" ref="K5:K21" si="3">H5+J5</f>
        <v>6701</v>
      </c>
      <c r="L5" s="191">
        <f>'Communal Management Costs'!I76</f>
        <v>7225</v>
      </c>
      <c r="M5" s="443">
        <v>8702</v>
      </c>
      <c r="N5" s="191">
        <f>SUM(K5:M5)</f>
        <v>22628</v>
      </c>
      <c r="O5" s="191">
        <f t="shared" ref="O5:O19" si="4">N5/B5</f>
        <v>121.00534759358288</v>
      </c>
      <c r="S5" s="191"/>
      <c r="T5" s="191"/>
      <c r="U5" s="212"/>
      <c r="W5" s="191"/>
      <c r="X5" s="191"/>
    </row>
    <row r="6" spans="1:25" x14ac:dyDescent="0.25">
      <c r="A6" s="167" t="s">
        <v>65</v>
      </c>
      <c r="B6" s="175">
        <v>187</v>
      </c>
      <c r="C6" s="453">
        <v>13650</v>
      </c>
      <c r="D6" s="279">
        <v>1</v>
      </c>
      <c r="E6" s="278">
        <f t="shared" si="0"/>
        <v>13650</v>
      </c>
      <c r="F6" s="191">
        <f t="shared" si="1"/>
        <v>72.994652406417117</v>
      </c>
      <c r="G6" s="192"/>
      <c r="H6" s="191">
        <v>1248</v>
      </c>
      <c r="I6" s="191">
        <f t="shared" si="2"/>
        <v>6.6737967914438503</v>
      </c>
      <c r="J6" s="191">
        <v>-9417</v>
      </c>
      <c r="K6" s="191">
        <f t="shared" si="3"/>
        <v>-8169</v>
      </c>
      <c r="L6" s="191">
        <f>'Leisure Suite'!I67</f>
        <v>10200</v>
      </c>
      <c r="M6" s="443">
        <v>1150</v>
      </c>
      <c r="N6" s="191">
        <f t="shared" ref="N6:N19" si="5">SUM(K6:M6)</f>
        <v>3181</v>
      </c>
      <c r="O6" s="191">
        <f t="shared" si="4"/>
        <v>17.010695187165776</v>
      </c>
      <c r="S6" s="191"/>
      <c r="T6" s="191"/>
      <c r="U6" s="212"/>
      <c r="W6" s="191"/>
      <c r="X6" s="191"/>
    </row>
    <row r="7" spans="1:25" s="233" customFormat="1" ht="16.2" x14ac:dyDescent="0.25">
      <c r="A7" s="167" t="s">
        <v>208</v>
      </c>
      <c r="B7" s="175">
        <v>187</v>
      </c>
      <c r="C7" s="453">
        <v>0</v>
      </c>
      <c r="D7" s="279"/>
      <c r="E7" s="278"/>
      <c r="F7" s="191"/>
      <c r="G7" s="185"/>
      <c r="H7" s="191"/>
      <c r="I7" s="191">
        <f t="shared" si="2"/>
        <v>0</v>
      </c>
      <c r="J7" s="191">
        <v>-921</v>
      </c>
      <c r="K7" s="191">
        <f t="shared" si="3"/>
        <v>-921</v>
      </c>
      <c r="L7" s="191"/>
      <c r="M7" s="191">
        <v>0</v>
      </c>
      <c r="N7" s="191"/>
      <c r="O7" s="191"/>
      <c r="P7" s="79"/>
      <c r="Q7" s="215"/>
      <c r="R7" s="79"/>
      <c r="S7" s="191"/>
      <c r="T7" s="191"/>
      <c r="U7" s="212"/>
      <c r="V7" s="79"/>
      <c r="W7" s="191">
        <v>732</v>
      </c>
      <c r="X7" s="191">
        <f t="shared" ref="X7:X8" si="6">W7*$W$2</f>
        <v>654.53968253968253</v>
      </c>
      <c r="Y7" s="79"/>
    </row>
    <row r="8" spans="1:25" x14ac:dyDescent="0.25">
      <c r="A8" s="167" t="s">
        <v>184</v>
      </c>
      <c r="B8" s="175">
        <f>Alexandra!H1</f>
        <v>4</v>
      </c>
      <c r="C8" s="453">
        <v>1000</v>
      </c>
      <c r="D8" s="279">
        <v>1</v>
      </c>
      <c r="E8" s="278">
        <f t="shared" si="0"/>
        <v>1000</v>
      </c>
      <c r="F8" s="191">
        <f t="shared" si="1"/>
        <v>250</v>
      </c>
      <c r="H8" s="191">
        <v>8683</v>
      </c>
      <c r="I8" s="191">
        <f t="shared" si="2"/>
        <v>2170.75</v>
      </c>
      <c r="J8" s="191">
        <v>823</v>
      </c>
      <c r="K8" s="191">
        <f t="shared" si="3"/>
        <v>9506</v>
      </c>
      <c r="L8" s="191">
        <f>Alexandra!I26</f>
        <v>510</v>
      </c>
      <c r="M8" s="443">
        <v>0</v>
      </c>
      <c r="N8" s="191">
        <f t="shared" si="5"/>
        <v>10016</v>
      </c>
      <c r="O8" s="191">
        <f t="shared" si="4"/>
        <v>2504</v>
      </c>
      <c r="S8" s="191"/>
      <c r="T8" s="191"/>
      <c r="U8" s="212"/>
      <c r="W8" s="191">
        <v>132</v>
      </c>
      <c r="X8" s="191">
        <f t="shared" si="6"/>
        <v>118.03174603174604</v>
      </c>
    </row>
    <row r="9" spans="1:25" x14ac:dyDescent="0.25">
      <c r="A9" s="167" t="s">
        <v>160</v>
      </c>
      <c r="B9" s="175">
        <f>'Alexandra Building'!H1</f>
        <v>9</v>
      </c>
      <c r="C9" s="453">
        <v>3500</v>
      </c>
      <c r="D9" s="279">
        <v>1</v>
      </c>
      <c r="E9" s="278">
        <f t="shared" si="0"/>
        <v>3500</v>
      </c>
      <c r="F9" s="191">
        <f t="shared" si="1"/>
        <v>388.88888888888891</v>
      </c>
      <c r="H9" s="191">
        <v>11096</v>
      </c>
      <c r="I9" s="191">
        <f t="shared" si="2"/>
        <v>1232.8888888888889</v>
      </c>
      <c r="J9" s="191">
        <v>-681</v>
      </c>
      <c r="K9" s="191">
        <f t="shared" si="3"/>
        <v>10415</v>
      </c>
      <c r="L9" s="191">
        <f>'Alexandra Building'!I11</f>
        <v>2975</v>
      </c>
      <c r="M9" s="443">
        <v>8664</v>
      </c>
      <c r="N9" s="191">
        <f t="shared" si="5"/>
        <v>22054</v>
      </c>
      <c r="O9" s="191">
        <f t="shared" si="4"/>
        <v>2450.4444444444443</v>
      </c>
      <c r="S9" s="191">
        <f>'Alexandra Building'!E7</f>
        <v>500</v>
      </c>
      <c r="T9" s="219">
        <f t="shared" ref="T9:T16" si="7">S9/B9</f>
        <v>55.555555555555557</v>
      </c>
      <c r="U9" s="222">
        <f t="shared" ref="U9:U16" si="8">B9*52</f>
        <v>468</v>
      </c>
      <c r="W9" s="191"/>
      <c r="X9" s="191"/>
    </row>
    <row r="10" spans="1:25" x14ac:dyDescent="0.25">
      <c r="A10" s="167" t="s">
        <v>55</v>
      </c>
      <c r="B10" s="175">
        <f>Cliffe!H1</f>
        <v>6</v>
      </c>
      <c r="C10" s="453">
        <v>3700</v>
      </c>
      <c r="D10" s="279">
        <v>1</v>
      </c>
      <c r="E10" s="278">
        <f t="shared" si="0"/>
        <v>3700</v>
      </c>
      <c r="F10" s="191">
        <f t="shared" si="1"/>
        <v>616.66666666666663</v>
      </c>
      <c r="H10" s="191">
        <v>23511</v>
      </c>
      <c r="I10" s="191">
        <f t="shared" si="2"/>
        <v>3918.5</v>
      </c>
      <c r="J10" s="191">
        <v>366</v>
      </c>
      <c r="K10" s="191">
        <f t="shared" si="3"/>
        <v>23877</v>
      </c>
      <c r="L10" s="191">
        <f>Cliffe!I28</f>
        <v>3145</v>
      </c>
      <c r="M10" s="443">
        <v>10788</v>
      </c>
      <c r="N10" s="191">
        <f t="shared" si="5"/>
        <v>37810</v>
      </c>
      <c r="O10" s="191">
        <f t="shared" si="4"/>
        <v>6301.666666666667</v>
      </c>
      <c r="S10" s="191">
        <f>Cliffe!E24</f>
        <v>340</v>
      </c>
      <c r="T10" s="219">
        <f t="shared" si="7"/>
        <v>56.666666666666664</v>
      </c>
      <c r="U10" s="222">
        <f t="shared" si="8"/>
        <v>312</v>
      </c>
      <c r="W10" s="191">
        <v>48</v>
      </c>
      <c r="X10" s="191">
        <f t="shared" ref="X10:X17" si="9">W10*$W$2</f>
        <v>42.920634920634924</v>
      </c>
    </row>
    <row r="11" spans="1:25" x14ac:dyDescent="0.25">
      <c r="A11" s="167" t="s">
        <v>56</v>
      </c>
      <c r="B11" s="175">
        <f>Edward!H1</f>
        <v>7</v>
      </c>
      <c r="C11" s="453">
        <v>1000</v>
      </c>
      <c r="D11" s="279">
        <v>1</v>
      </c>
      <c r="E11" s="278">
        <f t="shared" si="0"/>
        <v>1000</v>
      </c>
      <c r="F11" s="191">
        <f t="shared" si="1"/>
        <v>142.85714285714286</v>
      </c>
      <c r="H11" s="191">
        <v>16726</v>
      </c>
      <c r="I11" s="191">
        <f t="shared" si="2"/>
        <v>2389.4285714285716</v>
      </c>
      <c r="J11" s="191">
        <v>102</v>
      </c>
      <c r="K11" s="191">
        <f t="shared" si="3"/>
        <v>16828</v>
      </c>
      <c r="L11" s="191">
        <f>Edward!I28</f>
        <v>425</v>
      </c>
      <c r="M11" s="443">
        <v>545</v>
      </c>
      <c r="N11" s="191">
        <f t="shared" si="5"/>
        <v>17798</v>
      </c>
      <c r="O11" s="191">
        <f t="shared" si="4"/>
        <v>2542.5714285714284</v>
      </c>
      <c r="S11" s="191">
        <f>Edward!E24</f>
        <v>400</v>
      </c>
      <c r="T11" s="219">
        <f t="shared" si="7"/>
        <v>57.142857142857146</v>
      </c>
      <c r="U11" s="222">
        <f t="shared" si="8"/>
        <v>364</v>
      </c>
      <c r="W11" s="191">
        <v>60</v>
      </c>
      <c r="X11" s="191">
        <f t="shared" si="9"/>
        <v>53.650793650793652</v>
      </c>
    </row>
    <row r="12" spans="1:25" x14ac:dyDescent="0.25">
      <c r="A12" s="167" t="s">
        <v>57</v>
      </c>
      <c r="B12" s="175">
        <f>Kingswood!H1</f>
        <v>12</v>
      </c>
      <c r="C12" s="453">
        <v>4500</v>
      </c>
      <c r="D12" s="279">
        <v>1</v>
      </c>
      <c r="E12" s="278">
        <f t="shared" si="0"/>
        <v>4500</v>
      </c>
      <c r="F12" s="191">
        <f t="shared" si="1"/>
        <v>375</v>
      </c>
      <c r="H12" s="191">
        <v>6558</v>
      </c>
      <c r="I12" s="191">
        <f t="shared" si="2"/>
        <v>546.5</v>
      </c>
      <c r="J12" s="191">
        <v>-432</v>
      </c>
      <c r="K12" s="191">
        <f t="shared" si="3"/>
        <v>6126</v>
      </c>
      <c r="L12" s="191">
        <f>Kingswood!I32</f>
        <v>3825</v>
      </c>
      <c r="M12" s="443">
        <v>2916</v>
      </c>
      <c r="N12" s="191">
        <f t="shared" si="5"/>
        <v>12867</v>
      </c>
      <c r="O12" s="191">
        <f t="shared" si="4"/>
        <v>1072.25</v>
      </c>
      <c r="S12" s="191">
        <f>Kingswood!E28</f>
        <v>670</v>
      </c>
      <c r="T12" s="219">
        <f t="shared" si="7"/>
        <v>55.833333333333336</v>
      </c>
      <c r="U12" s="222">
        <f t="shared" si="8"/>
        <v>624</v>
      </c>
      <c r="W12" s="191">
        <v>360</v>
      </c>
      <c r="X12" s="191">
        <f t="shared" si="9"/>
        <v>321.90476190476193</v>
      </c>
    </row>
    <row r="13" spans="1:25" x14ac:dyDescent="0.25">
      <c r="A13" s="167" t="s">
        <v>58</v>
      </c>
      <c r="B13" s="175">
        <f>'Muxlow '!H1</f>
        <v>12</v>
      </c>
      <c r="C13" s="453">
        <v>7000</v>
      </c>
      <c r="D13" s="279">
        <v>1</v>
      </c>
      <c r="E13" s="278">
        <f t="shared" si="0"/>
        <v>7000</v>
      </c>
      <c r="F13" s="191">
        <f t="shared" si="1"/>
        <v>583.33333333333337</v>
      </c>
      <c r="H13" s="191">
        <v>7388</v>
      </c>
      <c r="I13" s="191">
        <f t="shared" si="2"/>
        <v>615.66666666666663</v>
      </c>
      <c r="J13" s="191">
        <v>733</v>
      </c>
      <c r="K13" s="191">
        <f t="shared" si="3"/>
        <v>8121</v>
      </c>
      <c r="L13" s="191">
        <f>'Muxlow '!I29</f>
        <v>2720</v>
      </c>
      <c r="M13" s="443">
        <v>0</v>
      </c>
      <c r="N13" s="191">
        <f t="shared" si="5"/>
        <v>10841</v>
      </c>
      <c r="O13" s="191">
        <f t="shared" si="4"/>
        <v>903.41666666666663</v>
      </c>
      <c r="S13" s="191">
        <f>'Muxlow '!E25</f>
        <v>670</v>
      </c>
      <c r="T13" s="219">
        <f t="shared" si="7"/>
        <v>55.833333333333336</v>
      </c>
      <c r="U13" s="222">
        <f t="shared" si="8"/>
        <v>624</v>
      </c>
      <c r="W13" s="191">
        <v>192</v>
      </c>
      <c r="X13" s="191">
        <f t="shared" si="9"/>
        <v>171.6825396825397</v>
      </c>
    </row>
    <row r="14" spans="1:25" x14ac:dyDescent="0.25">
      <c r="A14" s="167" t="s">
        <v>59</v>
      </c>
      <c r="B14" s="175">
        <f>Peveril!H1</f>
        <v>8</v>
      </c>
      <c r="C14" s="453">
        <v>3750</v>
      </c>
      <c r="D14" s="279">
        <v>1</v>
      </c>
      <c r="E14" s="278">
        <f t="shared" si="0"/>
        <v>3750</v>
      </c>
      <c r="F14" s="191">
        <f t="shared" si="1"/>
        <v>468.75</v>
      </c>
      <c r="H14" s="191">
        <v>17055</v>
      </c>
      <c r="I14" s="191">
        <f t="shared" si="2"/>
        <v>2131.875</v>
      </c>
      <c r="J14" s="191">
        <v>-95</v>
      </c>
      <c r="K14" s="191">
        <f t="shared" si="3"/>
        <v>16960</v>
      </c>
      <c r="L14" s="191">
        <f>Peveril!I29</f>
        <v>1530</v>
      </c>
      <c r="M14" s="443">
        <v>8988</v>
      </c>
      <c r="N14" s="191">
        <f t="shared" si="5"/>
        <v>27478</v>
      </c>
      <c r="O14" s="191">
        <f t="shared" si="4"/>
        <v>3434.75</v>
      </c>
      <c r="S14" s="191">
        <f>Peveril!E25</f>
        <v>450</v>
      </c>
      <c r="T14" s="219">
        <f t="shared" si="7"/>
        <v>56.25</v>
      </c>
      <c r="U14" s="222">
        <f t="shared" si="8"/>
        <v>416</v>
      </c>
      <c r="W14" s="191">
        <v>132</v>
      </c>
      <c r="X14" s="191">
        <f t="shared" si="9"/>
        <v>118.03174603174604</v>
      </c>
    </row>
    <row r="15" spans="1:25" x14ac:dyDescent="0.25">
      <c r="A15" s="167" t="s">
        <v>60</v>
      </c>
      <c r="B15" s="175">
        <f>'Sheaf 1'!H1</f>
        <v>12</v>
      </c>
      <c r="C15" s="453">
        <v>4000</v>
      </c>
      <c r="D15" s="279">
        <v>1</v>
      </c>
      <c r="E15" s="278">
        <f t="shared" si="0"/>
        <v>4000</v>
      </c>
      <c r="F15" s="191">
        <f t="shared" si="1"/>
        <v>333.33333333333331</v>
      </c>
      <c r="H15" s="191">
        <v>7804</v>
      </c>
      <c r="I15" s="191">
        <f t="shared" si="2"/>
        <v>650.33333333333337</v>
      </c>
      <c r="J15" s="191">
        <v>-1453</v>
      </c>
      <c r="K15" s="191">
        <f t="shared" si="3"/>
        <v>6351</v>
      </c>
      <c r="L15" s="191">
        <f>'Sheaf 1'!I31</f>
        <v>3018</v>
      </c>
      <c r="M15" s="443">
        <v>2344.3960000000002</v>
      </c>
      <c r="N15" s="191">
        <f t="shared" si="5"/>
        <v>11713.396000000001</v>
      </c>
      <c r="O15" s="191">
        <f t="shared" si="4"/>
        <v>976.11633333333339</v>
      </c>
      <c r="S15" s="191">
        <f>'Sheaf 1'!E27</f>
        <v>670</v>
      </c>
      <c r="T15" s="219">
        <f t="shared" si="7"/>
        <v>55.833333333333336</v>
      </c>
      <c r="U15" s="222">
        <f t="shared" si="8"/>
        <v>624</v>
      </c>
      <c r="W15" s="191">
        <v>72</v>
      </c>
      <c r="X15" s="191">
        <f t="shared" si="9"/>
        <v>64.38095238095238</v>
      </c>
    </row>
    <row r="16" spans="1:25" x14ac:dyDescent="0.25">
      <c r="A16" s="167" t="s">
        <v>61</v>
      </c>
      <c r="B16" s="175">
        <f>'Sheaf 2'!H1</f>
        <v>32</v>
      </c>
      <c r="C16" s="453">
        <v>9000</v>
      </c>
      <c r="D16" s="279">
        <v>1</v>
      </c>
      <c r="E16" s="278">
        <f t="shared" si="0"/>
        <v>9000</v>
      </c>
      <c r="F16" s="191">
        <f t="shared" si="1"/>
        <v>281.25</v>
      </c>
      <c r="H16" s="191">
        <v>69198</v>
      </c>
      <c r="I16" s="191">
        <f t="shared" si="2"/>
        <v>2162.4375</v>
      </c>
      <c r="J16" s="191">
        <v>1409</v>
      </c>
      <c r="K16" s="191">
        <f t="shared" si="3"/>
        <v>70607</v>
      </c>
      <c r="L16" s="191">
        <f>'Sheaf 2'!I38</f>
        <v>8075</v>
      </c>
      <c r="M16" s="443">
        <v>20703.71</v>
      </c>
      <c r="N16" s="191">
        <f t="shared" si="5"/>
        <v>99385.709999999992</v>
      </c>
      <c r="O16" s="191">
        <f t="shared" si="4"/>
        <v>3105.8034374999997</v>
      </c>
      <c r="S16" s="191">
        <f>'Sheaf 2'!E34</f>
        <v>1800</v>
      </c>
      <c r="T16" s="219">
        <f t="shared" si="7"/>
        <v>56.25</v>
      </c>
      <c r="U16" s="222">
        <f t="shared" si="8"/>
        <v>1664</v>
      </c>
      <c r="W16" s="191">
        <v>252</v>
      </c>
      <c r="X16" s="191">
        <f t="shared" si="9"/>
        <v>225.33333333333334</v>
      </c>
    </row>
    <row r="17" spans="1:25" x14ac:dyDescent="0.25">
      <c r="A17" s="430" t="s">
        <v>62</v>
      </c>
      <c r="B17" s="431">
        <f>'Sheaf 3 Apts'!H1</f>
        <v>4</v>
      </c>
      <c r="C17" s="454">
        <v>1200</v>
      </c>
      <c r="D17" s="279">
        <v>1</v>
      </c>
      <c r="E17" s="433">
        <f t="shared" si="0"/>
        <v>1200</v>
      </c>
      <c r="F17" s="432">
        <f t="shared" si="1"/>
        <v>300</v>
      </c>
      <c r="H17" s="432">
        <v>3359</v>
      </c>
      <c r="I17" s="432">
        <f t="shared" si="2"/>
        <v>839.75</v>
      </c>
      <c r="J17" s="432">
        <v>934</v>
      </c>
      <c r="K17" s="432">
        <f t="shared" si="3"/>
        <v>4293</v>
      </c>
      <c r="L17" s="432">
        <f>'Sheaf 3 Apts'!I27</f>
        <v>595</v>
      </c>
      <c r="M17" s="444">
        <v>0</v>
      </c>
      <c r="N17" s="191">
        <f t="shared" si="5"/>
        <v>4888</v>
      </c>
      <c r="O17" s="432">
        <f t="shared" si="4"/>
        <v>1222</v>
      </c>
      <c r="S17" s="191"/>
      <c r="T17" s="219"/>
      <c r="U17" s="222"/>
      <c r="W17" s="191">
        <v>144</v>
      </c>
      <c r="X17" s="191">
        <f t="shared" si="9"/>
        <v>128.76190476190476</v>
      </c>
    </row>
    <row r="18" spans="1:25" x14ac:dyDescent="0.25">
      <c r="A18" s="167" t="s">
        <v>162</v>
      </c>
      <c r="B18" s="175">
        <f>'Sheaf 3 Building'!H1</f>
        <v>8</v>
      </c>
      <c r="C18" s="453">
        <v>4000</v>
      </c>
      <c r="D18" s="279">
        <v>1</v>
      </c>
      <c r="E18" s="278">
        <f t="shared" si="0"/>
        <v>4000</v>
      </c>
      <c r="F18" s="191">
        <f t="shared" si="1"/>
        <v>500</v>
      </c>
      <c r="G18" s="191"/>
      <c r="H18" s="191">
        <v>24759</v>
      </c>
      <c r="I18" s="191">
        <f t="shared" si="2"/>
        <v>3094.875</v>
      </c>
      <c r="J18" s="191">
        <v>-1230</v>
      </c>
      <c r="K18" s="191">
        <f t="shared" si="3"/>
        <v>23529</v>
      </c>
      <c r="L18" s="191">
        <f>'Sheaf 3 Building'!I12</f>
        <v>2465</v>
      </c>
      <c r="M18" s="443">
        <v>11470</v>
      </c>
      <c r="N18" s="191">
        <f t="shared" si="5"/>
        <v>37464</v>
      </c>
      <c r="O18" s="191">
        <f t="shared" si="4"/>
        <v>4683</v>
      </c>
      <c r="S18" s="191">
        <f>'Sheaf 3 Building'!E8</f>
        <v>440</v>
      </c>
      <c r="T18" s="219">
        <f>S18/B18</f>
        <v>55</v>
      </c>
      <c r="U18" s="222">
        <f>B18*52</f>
        <v>416</v>
      </c>
      <c r="W18" s="191"/>
      <c r="X18" s="191"/>
    </row>
    <row r="19" spans="1:25" x14ac:dyDescent="0.25">
      <c r="A19" s="167" t="s">
        <v>64</v>
      </c>
      <c r="B19" s="175">
        <f>Victoria!H1</f>
        <v>8</v>
      </c>
      <c r="C19" s="453">
        <v>1500</v>
      </c>
      <c r="D19" s="279">
        <v>1</v>
      </c>
      <c r="E19" s="278">
        <f t="shared" si="0"/>
        <v>1500</v>
      </c>
      <c r="F19" s="191">
        <f t="shared" si="1"/>
        <v>187.5</v>
      </c>
      <c r="G19" s="191"/>
      <c r="H19" s="191">
        <v>30127</v>
      </c>
      <c r="I19" s="191">
        <f t="shared" si="2"/>
        <v>3765.875</v>
      </c>
      <c r="J19" s="191">
        <v>-401</v>
      </c>
      <c r="K19" s="191">
        <f t="shared" si="3"/>
        <v>29726</v>
      </c>
      <c r="L19" s="191">
        <f>Victoria!I29</f>
        <v>340</v>
      </c>
      <c r="M19" s="443">
        <v>0</v>
      </c>
      <c r="N19" s="191">
        <f t="shared" si="5"/>
        <v>30066</v>
      </c>
      <c r="O19" s="191">
        <f t="shared" si="4"/>
        <v>3758.25</v>
      </c>
      <c r="S19" s="191">
        <f>Victoria!E25</f>
        <v>440</v>
      </c>
      <c r="T19" s="191">
        <f>S19/B19</f>
        <v>55</v>
      </c>
      <c r="U19" s="222">
        <f>B19*52</f>
        <v>416</v>
      </c>
      <c r="W19" s="191">
        <v>144</v>
      </c>
      <c r="X19" s="191">
        <f>W19*$W$2</f>
        <v>128.76190476190476</v>
      </c>
    </row>
    <row r="20" spans="1:25" s="233" customFormat="1" ht="16.2" x14ac:dyDescent="0.25">
      <c r="A20" s="167" t="s">
        <v>209</v>
      </c>
      <c r="B20" s="175">
        <v>187</v>
      </c>
      <c r="C20" s="453"/>
      <c r="D20" s="279"/>
      <c r="E20" s="278"/>
      <c r="F20" s="191"/>
      <c r="G20" s="191"/>
      <c r="H20" s="191">
        <v>56650</v>
      </c>
      <c r="I20" s="191"/>
      <c r="J20" s="191"/>
      <c r="K20" s="191"/>
      <c r="L20" s="191"/>
      <c r="M20" s="191"/>
      <c r="N20" s="191"/>
      <c r="O20" s="191"/>
      <c r="P20" s="79"/>
      <c r="Q20" s="215"/>
      <c r="R20" s="79"/>
      <c r="S20" s="185"/>
      <c r="T20" s="185"/>
      <c r="U20" s="429"/>
      <c r="V20" s="79"/>
      <c r="W20" s="191">
        <f>SUM(W5:W19)</f>
        <v>2268</v>
      </c>
      <c r="X20" s="191">
        <f>SUM(X5:X19)</f>
        <v>2028</v>
      </c>
      <c r="Y20" s="79"/>
    </row>
    <row r="21" spans="1:25" x14ac:dyDescent="0.25">
      <c r="A21" s="10"/>
      <c r="B21" s="193"/>
      <c r="C21" s="452"/>
      <c r="D21" s="223"/>
      <c r="E21" s="79"/>
      <c r="G21" s="185"/>
      <c r="K21" s="79">
        <f t="shared" si="3"/>
        <v>0</v>
      </c>
      <c r="U21" s="176"/>
    </row>
    <row r="22" spans="1:25" ht="15" customHeight="1" x14ac:dyDescent="0.25">
      <c r="A22" s="214" t="s">
        <v>185</v>
      </c>
      <c r="B22" s="175"/>
      <c r="C22" s="453">
        <f>SUM(C5:C21)</f>
        <v>75800</v>
      </c>
      <c r="D22" s="175"/>
      <c r="E22" s="191">
        <f>SUM(E5:E21)</f>
        <v>75800</v>
      </c>
      <c r="F22" s="191">
        <f>SUM(F5:F21)</f>
        <v>4596.8307019777603</v>
      </c>
      <c r="G22" s="192"/>
      <c r="H22" s="191">
        <f t="shared" ref="H22:O22" si="10">SUM(H5:H21)</f>
        <v>301650</v>
      </c>
      <c r="I22" s="191">
        <f t="shared" si="10"/>
        <v>23619.072473686443</v>
      </c>
      <c r="J22" s="191">
        <f t="shared" si="10"/>
        <v>-21050</v>
      </c>
      <c r="K22" s="191">
        <f t="shared" si="10"/>
        <v>223950</v>
      </c>
      <c r="L22" s="191">
        <f t="shared" si="10"/>
        <v>47048</v>
      </c>
      <c r="M22" s="191">
        <f>SUM(M5:M19)</f>
        <v>76271.106</v>
      </c>
      <c r="N22" s="191">
        <f t="shared" si="10"/>
        <v>348190.10600000003</v>
      </c>
      <c r="O22" s="191">
        <f t="shared" si="10"/>
        <v>33092.285019963281</v>
      </c>
      <c r="S22" s="191">
        <f>SUM(S5:S21)</f>
        <v>6380</v>
      </c>
      <c r="T22" s="191">
        <f>SUM(T5:T21)</f>
        <v>559.36507936507928</v>
      </c>
      <c r="U22" s="212">
        <f>SUM(U5:U21)</f>
        <v>5928</v>
      </c>
      <c r="W22" s="472"/>
      <c r="X22" s="473"/>
    </row>
    <row r="23" spans="1:25" x14ac:dyDescent="0.25">
      <c r="C23" s="452"/>
      <c r="E23" s="79"/>
      <c r="G23" s="185"/>
      <c r="U23" s="79">
        <f>S22-U22</f>
        <v>452</v>
      </c>
      <c r="W23" s="474"/>
      <c r="X23" s="475"/>
    </row>
    <row r="24" spans="1:25" x14ac:dyDescent="0.25">
      <c r="A24" s="482" t="s">
        <v>228</v>
      </c>
      <c r="B24" s="483"/>
      <c r="C24" s="483"/>
      <c r="D24" s="483"/>
      <c r="E24" s="483"/>
      <c r="F24" s="483"/>
      <c r="H24" s="478" t="s">
        <v>213</v>
      </c>
      <c r="I24" s="479"/>
      <c r="J24" s="479"/>
      <c r="K24" s="473"/>
      <c r="L24" s="478" t="s">
        <v>220</v>
      </c>
      <c r="M24" s="492"/>
      <c r="N24" s="479"/>
      <c r="O24" s="473"/>
      <c r="S24" s="482" t="s">
        <v>214</v>
      </c>
      <c r="T24" s="483"/>
      <c r="U24" s="483"/>
      <c r="W24" s="476"/>
      <c r="X24" s="477"/>
    </row>
    <row r="25" spans="1:25" x14ac:dyDescent="0.25">
      <c r="A25" s="483"/>
      <c r="B25" s="483"/>
      <c r="C25" s="483"/>
      <c r="D25" s="483"/>
      <c r="E25" s="483"/>
      <c r="F25" s="483"/>
      <c r="H25" s="474"/>
      <c r="I25" s="480"/>
      <c r="J25" s="480"/>
      <c r="K25" s="475"/>
      <c r="L25" s="474"/>
      <c r="M25" s="480"/>
      <c r="N25" s="480"/>
      <c r="O25" s="475"/>
      <c r="S25" s="483"/>
      <c r="T25" s="483"/>
      <c r="U25" s="483"/>
    </row>
    <row r="26" spans="1:25" x14ac:dyDescent="0.25">
      <c r="A26" s="483"/>
      <c r="B26" s="483"/>
      <c r="C26" s="483"/>
      <c r="D26" s="483"/>
      <c r="E26" s="483"/>
      <c r="F26" s="483"/>
      <c r="H26" s="474"/>
      <c r="I26" s="480"/>
      <c r="J26" s="480"/>
      <c r="K26" s="475"/>
      <c r="L26" s="476"/>
      <c r="M26" s="481"/>
      <c r="N26" s="481"/>
      <c r="O26" s="477"/>
      <c r="S26" s="483"/>
      <c r="T26" s="483"/>
      <c r="U26" s="483"/>
    </row>
    <row r="27" spans="1:25" s="233" customFormat="1" x14ac:dyDescent="0.25">
      <c r="A27" s="483"/>
      <c r="B27" s="483"/>
      <c r="C27" s="483"/>
      <c r="D27" s="483"/>
      <c r="E27" s="483"/>
      <c r="F27" s="483"/>
      <c r="G27" s="79"/>
      <c r="H27" s="476"/>
      <c r="I27" s="481"/>
      <c r="J27" s="481"/>
      <c r="K27" s="477"/>
      <c r="L27" s="383"/>
      <c r="M27" s="437"/>
      <c r="N27" s="383"/>
      <c r="O27" s="383"/>
      <c r="P27" s="79"/>
      <c r="Q27" s="215"/>
      <c r="R27" s="79"/>
      <c r="S27" s="483"/>
      <c r="T27" s="483"/>
      <c r="U27" s="483"/>
      <c r="V27" s="79"/>
      <c r="W27" s="79"/>
      <c r="X27" s="79"/>
      <c r="Y27" s="79"/>
    </row>
    <row r="28" spans="1:25" s="233" customFormat="1" ht="45" customHeight="1" x14ac:dyDescent="0.25">
      <c r="A28" s="488" t="s">
        <v>228</v>
      </c>
      <c r="B28" s="483"/>
      <c r="C28" s="483"/>
      <c r="D28" s="483"/>
      <c r="E28" s="483"/>
      <c r="F28" s="483"/>
      <c r="G28" s="483"/>
      <c r="H28" s="484" t="s">
        <v>219</v>
      </c>
      <c r="I28" s="485"/>
      <c r="J28" s="485"/>
      <c r="K28" s="486"/>
      <c r="L28" s="383"/>
      <c r="M28" s="437"/>
      <c r="N28" s="383"/>
      <c r="O28" s="383"/>
      <c r="P28" s="79"/>
      <c r="Q28" s="215"/>
      <c r="R28" s="79"/>
      <c r="S28" s="487"/>
      <c r="T28" s="483"/>
      <c r="U28" s="483"/>
      <c r="V28" s="79"/>
      <c r="W28" s="79"/>
      <c r="X28" s="79"/>
      <c r="Y28" s="79"/>
    </row>
    <row r="29" spans="1:25" s="233" customFormat="1" ht="45" customHeight="1" x14ac:dyDescent="0.25">
      <c r="A29" s="489" t="s">
        <v>228</v>
      </c>
      <c r="B29" s="483"/>
      <c r="C29" s="483"/>
      <c r="D29" s="483"/>
      <c r="E29" s="483"/>
      <c r="F29" s="483"/>
      <c r="G29" s="79"/>
      <c r="H29" s="490" t="s">
        <v>228</v>
      </c>
      <c r="I29" s="491"/>
      <c r="J29" s="491"/>
      <c r="K29" s="491"/>
      <c r="L29" s="491"/>
      <c r="M29" s="491"/>
      <c r="N29" s="491"/>
      <c r="O29" s="491"/>
      <c r="P29" s="79"/>
      <c r="Q29" s="215"/>
      <c r="R29" s="79"/>
      <c r="S29" s="483"/>
      <c r="T29" s="483"/>
      <c r="U29" s="483"/>
      <c r="V29" s="79"/>
      <c r="W29" s="79"/>
      <c r="X29" s="79"/>
      <c r="Y29" s="79"/>
    </row>
    <row r="30" spans="1:25" x14ac:dyDescent="0.25">
      <c r="A30" s="6" t="s">
        <v>228</v>
      </c>
      <c r="C30" s="452"/>
      <c r="S30" s="483"/>
      <c r="T30" s="483"/>
      <c r="U30" s="483"/>
    </row>
    <row r="31" spans="1:25" s="233" customFormat="1" x14ac:dyDescent="0.25">
      <c r="A31" s="6"/>
      <c r="B31" s="183"/>
      <c r="C31" s="452"/>
      <c r="D31" s="79"/>
      <c r="E31" s="87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15"/>
      <c r="R31" s="79"/>
      <c r="S31" s="483"/>
      <c r="T31" s="483"/>
      <c r="U31" s="483"/>
      <c r="V31" s="79"/>
      <c r="W31" s="79"/>
      <c r="X31" s="79"/>
      <c r="Y31" s="79"/>
    </row>
    <row r="32" spans="1:25" x14ac:dyDescent="0.25">
      <c r="A32" s="233"/>
      <c r="C32" s="452"/>
      <c r="S32" s="483"/>
      <c r="T32" s="483"/>
      <c r="U32" s="483"/>
    </row>
    <row r="33" spans="1:25" ht="26.2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25" s="201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99"/>
      <c r="Q34" s="215"/>
      <c r="R34" s="199"/>
      <c r="V34" s="199"/>
      <c r="W34" s="199"/>
      <c r="X34" s="199"/>
      <c r="Y34" s="199"/>
    </row>
    <row r="35" spans="1:25" s="12" customFormat="1" ht="30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7"/>
      <c r="Q35" s="217"/>
      <c r="R35" s="87"/>
      <c r="W35" s="87"/>
      <c r="X35" s="87"/>
      <c r="Y35" s="87"/>
    </row>
    <row r="36" spans="1:25" s="10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185"/>
      <c r="Q36" s="218"/>
      <c r="R36" s="185"/>
      <c r="W36" s="185"/>
      <c r="X36" s="185"/>
      <c r="Y36" s="185"/>
    </row>
    <row r="37" spans="1:2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2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2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2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S42" s="182"/>
    </row>
    <row r="43" spans="1:2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S43" s="182"/>
    </row>
    <row r="44" spans="1:2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5">
      <c r="C202" s="452"/>
    </row>
    <row r="203" spans="1:15" x14ac:dyDescent="0.25">
      <c r="C203" s="452"/>
    </row>
    <row r="204" spans="1:15" x14ac:dyDescent="0.25">
      <c r="C204" s="452"/>
    </row>
    <row r="205" spans="1:15" x14ac:dyDescent="0.25">
      <c r="C205" s="452"/>
    </row>
    <row r="206" spans="1:15" x14ac:dyDescent="0.25">
      <c r="C206" s="452"/>
    </row>
    <row r="207" spans="1:15" x14ac:dyDescent="0.25">
      <c r="C207" s="452"/>
    </row>
    <row r="208" spans="1:15" x14ac:dyDescent="0.25">
      <c r="C208" s="452"/>
    </row>
    <row r="209" spans="3:3" x14ac:dyDescent="0.25">
      <c r="C209" s="452"/>
    </row>
    <row r="210" spans="3:3" x14ac:dyDescent="0.25">
      <c r="C210" s="452"/>
    </row>
    <row r="211" spans="3:3" x14ac:dyDescent="0.25">
      <c r="C211" s="452"/>
    </row>
    <row r="212" spans="3:3" x14ac:dyDescent="0.25">
      <c r="C212" s="452"/>
    </row>
    <row r="213" spans="3:3" x14ac:dyDescent="0.25">
      <c r="C213" s="452"/>
    </row>
    <row r="214" spans="3:3" x14ac:dyDescent="0.25">
      <c r="C214" s="452"/>
    </row>
    <row r="215" spans="3:3" x14ac:dyDescent="0.25">
      <c r="C215" s="452"/>
    </row>
    <row r="216" spans="3:3" x14ac:dyDescent="0.25">
      <c r="C216" s="452"/>
    </row>
    <row r="217" spans="3:3" x14ac:dyDescent="0.25">
      <c r="C217" s="452"/>
    </row>
    <row r="218" spans="3:3" x14ac:dyDescent="0.25">
      <c r="C218" s="452"/>
    </row>
    <row r="219" spans="3:3" x14ac:dyDescent="0.25">
      <c r="C219" s="452"/>
    </row>
    <row r="220" spans="3:3" x14ac:dyDescent="0.25">
      <c r="C220" s="452"/>
    </row>
    <row r="221" spans="3:3" x14ac:dyDescent="0.25">
      <c r="C221" s="452"/>
    </row>
    <row r="222" spans="3:3" x14ac:dyDescent="0.25">
      <c r="C222" s="452"/>
    </row>
    <row r="223" spans="3:3" x14ac:dyDescent="0.25">
      <c r="C223" s="452"/>
    </row>
    <row r="224" spans="3:3" x14ac:dyDescent="0.25">
      <c r="C224" s="452"/>
    </row>
    <row r="225" spans="3:3" x14ac:dyDescent="0.25">
      <c r="C225" s="452"/>
    </row>
    <row r="226" spans="3:3" x14ac:dyDescent="0.25">
      <c r="C226" s="452"/>
    </row>
    <row r="227" spans="3:3" x14ac:dyDescent="0.25">
      <c r="C227" s="452"/>
    </row>
    <row r="228" spans="3:3" x14ac:dyDescent="0.25">
      <c r="C228" s="452"/>
    </row>
    <row r="229" spans="3:3" x14ac:dyDescent="0.25">
      <c r="C229" s="452"/>
    </row>
    <row r="230" spans="3:3" x14ac:dyDescent="0.25">
      <c r="C230" s="452"/>
    </row>
    <row r="231" spans="3:3" x14ac:dyDescent="0.25">
      <c r="C231" s="452"/>
    </row>
    <row r="232" spans="3:3" x14ac:dyDescent="0.25">
      <c r="C232" s="452"/>
    </row>
    <row r="233" spans="3:3" x14ac:dyDescent="0.25">
      <c r="C233" s="452"/>
    </row>
    <row r="234" spans="3:3" x14ac:dyDescent="0.25">
      <c r="C234" s="452"/>
    </row>
    <row r="235" spans="3:3" x14ac:dyDescent="0.25">
      <c r="C235" s="452"/>
    </row>
    <row r="236" spans="3:3" x14ac:dyDescent="0.25">
      <c r="C236" s="452"/>
    </row>
    <row r="237" spans="3:3" x14ac:dyDescent="0.25">
      <c r="C237" s="452"/>
    </row>
    <row r="238" spans="3:3" x14ac:dyDescent="0.25">
      <c r="C238" s="452"/>
    </row>
    <row r="239" spans="3:3" x14ac:dyDescent="0.25">
      <c r="C239" s="452"/>
    </row>
    <row r="240" spans="3:3" x14ac:dyDescent="0.25">
      <c r="C240" s="452"/>
    </row>
    <row r="241" spans="3:3" x14ac:dyDescent="0.25">
      <c r="C241" s="452"/>
    </row>
    <row r="242" spans="3:3" x14ac:dyDescent="0.25">
      <c r="C242" s="452"/>
    </row>
    <row r="243" spans="3:3" x14ac:dyDescent="0.25">
      <c r="C243" s="452"/>
    </row>
    <row r="244" spans="3:3" x14ac:dyDescent="0.25">
      <c r="C244" s="452"/>
    </row>
    <row r="245" spans="3:3" x14ac:dyDescent="0.25">
      <c r="C245" s="452"/>
    </row>
    <row r="246" spans="3:3" x14ac:dyDescent="0.25">
      <c r="C246" s="452"/>
    </row>
    <row r="247" spans="3:3" x14ac:dyDescent="0.25">
      <c r="C247" s="452"/>
    </row>
    <row r="248" spans="3:3" x14ac:dyDescent="0.25">
      <c r="C248" s="452"/>
    </row>
    <row r="249" spans="3:3" x14ac:dyDescent="0.25">
      <c r="C249" s="452"/>
    </row>
    <row r="250" spans="3:3" x14ac:dyDescent="0.25">
      <c r="C250" s="452"/>
    </row>
    <row r="251" spans="3:3" x14ac:dyDescent="0.25">
      <c r="C251" s="452"/>
    </row>
    <row r="252" spans="3:3" x14ac:dyDescent="0.25">
      <c r="C252" s="452"/>
    </row>
    <row r="253" spans="3:3" x14ac:dyDescent="0.25">
      <c r="C253" s="452"/>
    </row>
    <row r="254" spans="3:3" x14ac:dyDescent="0.25">
      <c r="C254" s="452"/>
    </row>
    <row r="255" spans="3:3" x14ac:dyDescent="0.25">
      <c r="C255" s="452"/>
    </row>
    <row r="256" spans="3:3" x14ac:dyDescent="0.25">
      <c r="C256" s="452"/>
    </row>
  </sheetData>
  <mergeCells count="15">
    <mergeCell ref="W22:X24"/>
    <mergeCell ref="H24:K27"/>
    <mergeCell ref="S24:U27"/>
    <mergeCell ref="A24:F27"/>
    <mergeCell ref="H28:K28"/>
    <mergeCell ref="S28:U32"/>
    <mergeCell ref="A28:G28"/>
    <mergeCell ref="A29:F29"/>
    <mergeCell ref="H29:O29"/>
    <mergeCell ref="L24:O26"/>
    <mergeCell ref="W3:X3"/>
    <mergeCell ref="S3:U3"/>
    <mergeCell ref="A3:F3"/>
    <mergeCell ref="H3:I3"/>
    <mergeCell ref="J3:O3"/>
  </mergeCells>
  <conditionalFormatting sqref="H5:H20">
    <cfRule type="cellIs" dxfId="0" priority="1" operator="greaterThan">
      <formula>10000</formula>
    </cfRule>
  </conditionalFormatting>
  <pageMargins left="0.43307086614173229" right="0.23622047244094491" top="0.15748031496062992" bottom="0.15748031496062992" header="0.31496062992125984" footer="0.31496062992125984"/>
  <pageSetup paperSize="8" scale="85" fitToHeight="0" orientation="landscape" horizontalDpi="300" verticalDpi="300" r:id="rId1"/>
  <rowBreaks count="1" manualBreakCount="1">
    <brk id="32" max="16383" man="1"/>
  </rowBreaks>
  <colBreaks count="1" manualBreakCount="1">
    <brk id="16" max="31" man="1"/>
  </colBreaks>
  <ignoredErrors>
    <ignoredError sqref="M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O62"/>
  <sheetViews>
    <sheetView showGridLines="0" zoomScale="80" zoomScaleNormal="80" workbookViewId="0">
      <pane ySplit="5" topLeftCell="A38" activePane="bottomLeft" state="frozen"/>
      <selection activeCell="H32" sqref="H32:I32"/>
      <selection pane="bottomLeft" activeCell="A39" sqref="A39:R47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4414062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34" width="11.33203125" style="30" bestFit="1" customWidth="1"/>
    <col min="35" max="35" width="9.33203125" style="30" bestFit="1" customWidth="1"/>
    <col min="36" max="16384" width="9.109375" style="30"/>
  </cols>
  <sheetData>
    <row r="1" spans="1:34" s="347" customFormat="1" ht="21" x14ac:dyDescent="0.3">
      <c r="A1" s="54" t="s">
        <v>177</v>
      </c>
      <c r="B1" s="51"/>
      <c r="C1" s="51"/>
      <c r="D1" s="54" t="s">
        <v>172</v>
      </c>
      <c r="E1" s="233"/>
      <c r="F1" s="201"/>
      <c r="H1" s="181">
        <v>12</v>
      </c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x14ac:dyDescent="0.3">
      <c r="A7" s="76" t="s">
        <v>20</v>
      </c>
      <c r="B7" s="76"/>
      <c r="C7" s="76"/>
      <c r="D7" s="76"/>
      <c r="E7" s="76"/>
      <c r="F7" s="420"/>
      <c r="G7" s="76"/>
      <c r="H7" s="76"/>
      <c r="I7" s="314"/>
      <c r="J7" s="314"/>
      <c r="K7" s="76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80" t="s">
        <v>21</v>
      </c>
      <c r="B8" s="80"/>
      <c r="C8" s="80"/>
      <c r="D8" s="81">
        <f>E8-I8</f>
        <v>0</v>
      </c>
      <c r="E8" s="259">
        <v>1105</v>
      </c>
      <c r="F8" s="303"/>
      <c r="G8" s="80"/>
      <c r="H8" s="81">
        <f>I8-P8</f>
        <v>191</v>
      </c>
      <c r="I8" s="303">
        <v>1105</v>
      </c>
      <c r="J8" s="83">
        <f>I8/12*Summary!$H$30</f>
        <v>920.83333333333326</v>
      </c>
      <c r="K8" s="268">
        <v>737</v>
      </c>
      <c r="L8" s="83">
        <f>J8-K8</f>
        <v>183.83333333333326</v>
      </c>
      <c r="M8" s="243"/>
      <c r="N8" s="243"/>
      <c r="O8" s="81">
        <f>P8-W8</f>
        <v>-86</v>
      </c>
      <c r="P8" s="82">
        <v>914</v>
      </c>
      <c r="Q8" s="83">
        <f>P8</f>
        <v>914</v>
      </c>
      <c r="R8" s="348">
        <v>1078</v>
      </c>
      <c r="S8" s="83">
        <f>Q8-R8</f>
        <v>-164</v>
      </c>
      <c r="T8" s="79"/>
      <c r="U8" s="79"/>
      <c r="V8" s="77">
        <f>W8-AB8</f>
        <v>175</v>
      </c>
      <c r="W8" s="34">
        <v>1000</v>
      </c>
      <c r="X8" s="83">
        <f>W8/12*10</f>
        <v>833.33333333333326</v>
      </c>
      <c r="Y8" s="83">
        <v>576</v>
      </c>
      <c r="Z8" s="83">
        <f>X8-Y8</f>
        <v>257.33333333333326</v>
      </c>
      <c r="AA8" s="79"/>
      <c r="AB8" s="34">
        <v>825</v>
      </c>
      <c r="AC8" s="83">
        <f>AB8/12*10</f>
        <v>687.5</v>
      </c>
      <c r="AD8" s="35">
        <v>646.87</v>
      </c>
      <c r="AE8" s="79">
        <f>AC8-AD8</f>
        <v>40.629999999999995</v>
      </c>
      <c r="AF8" s="11"/>
      <c r="AG8" s="73"/>
    </row>
    <row r="9" spans="1:34" x14ac:dyDescent="0.3">
      <c r="A9" s="80" t="s">
        <v>14</v>
      </c>
      <c r="B9" s="80" t="s">
        <v>228</v>
      </c>
      <c r="C9" s="80"/>
      <c r="D9" s="81">
        <f>E9-I9</f>
        <v>0</v>
      </c>
      <c r="E9" s="346">
        <v>60</v>
      </c>
      <c r="F9" s="393"/>
      <c r="G9" s="80"/>
      <c r="H9" s="81">
        <f>I9-P9</f>
        <v>-1.4399999999999977</v>
      </c>
      <c r="I9" s="303">
        <v>60</v>
      </c>
      <c r="J9" s="83">
        <f>I9/12*Summary!$H$30</f>
        <v>50</v>
      </c>
      <c r="K9" s="268">
        <v>20</v>
      </c>
      <c r="L9" s="83">
        <f>J9-K9</f>
        <v>30</v>
      </c>
      <c r="M9" s="243"/>
      <c r="N9" s="243"/>
      <c r="O9" s="81">
        <f>P9-W9</f>
        <v>1.4399999999999977</v>
      </c>
      <c r="P9" s="82">
        <f>W9+(W9*$P$36)</f>
        <v>61.44</v>
      </c>
      <c r="Q9" s="83">
        <f t="shared" ref="Q9:Q11" si="0">P9</f>
        <v>61.44</v>
      </c>
      <c r="R9" s="348">
        <v>75</v>
      </c>
      <c r="S9" s="83">
        <f>Q9-R9</f>
        <v>-13.560000000000002</v>
      </c>
      <c r="T9" s="79"/>
      <c r="U9" s="79"/>
      <c r="V9" s="77">
        <f>W9-AB9</f>
        <v>0</v>
      </c>
      <c r="W9" s="34">
        <v>60</v>
      </c>
      <c r="X9" s="83">
        <f>W9/12*10</f>
        <v>50</v>
      </c>
      <c r="Y9" s="83">
        <v>50</v>
      </c>
      <c r="Z9" s="83">
        <f>X9-Y9</f>
        <v>0</v>
      </c>
      <c r="AA9" s="79"/>
      <c r="AB9" s="34">
        <v>60</v>
      </c>
      <c r="AC9" s="83">
        <f>AB9/12*10</f>
        <v>50</v>
      </c>
      <c r="AD9" s="35">
        <v>50</v>
      </c>
      <c r="AE9" s="79">
        <f>AC9-AD9</f>
        <v>0</v>
      </c>
      <c r="AF9" s="11"/>
      <c r="AG9" s="73"/>
      <c r="AH9" s="17"/>
    </row>
    <row r="10" spans="1:34" x14ac:dyDescent="0.3">
      <c r="A10" s="80" t="s">
        <v>232</v>
      </c>
      <c r="B10" s="80" t="s">
        <v>228</v>
      </c>
      <c r="C10" s="80"/>
      <c r="D10" s="81">
        <f>E10-I10</f>
        <v>270</v>
      </c>
      <c r="E10" s="346">
        <v>1150</v>
      </c>
      <c r="F10" s="393"/>
      <c r="G10" s="80"/>
      <c r="H10" s="81">
        <f>I10-P10</f>
        <v>-144</v>
      </c>
      <c r="I10" s="303">
        <v>880</v>
      </c>
      <c r="J10" s="83">
        <f>I10/12*Summary!$H$30</f>
        <v>733.33333333333326</v>
      </c>
      <c r="K10" s="268">
        <v>1592</v>
      </c>
      <c r="L10" s="83">
        <f>J10-K10</f>
        <v>-858.66666666666674</v>
      </c>
      <c r="M10" s="243"/>
      <c r="N10" s="243"/>
      <c r="O10" s="81">
        <f>P10-W10</f>
        <v>24</v>
      </c>
      <c r="P10" s="82">
        <f>W10+(W10*$P$36)</f>
        <v>1024</v>
      </c>
      <c r="Q10" s="83">
        <f t="shared" si="0"/>
        <v>1024</v>
      </c>
      <c r="R10" s="348">
        <v>803</v>
      </c>
      <c r="S10" s="83">
        <f>Q10-R10</f>
        <v>221</v>
      </c>
      <c r="T10" s="79"/>
      <c r="U10" s="79"/>
      <c r="V10" s="77">
        <f>W10-AB10</f>
        <v>0</v>
      </c>
      <c r="W10" s="34">
        <v>1000</v>
      </c>
      <c r="X10" s="83">
        <f>W10/12*10</f>
        <v>833.33333333333326</v>
      </c>
      <c r="Y10" s="83">
        <v>2562</v>
      </c>
      <c r="Z10" s="83">
        <f>X10-Y10</f>
        <v>-1728.6666666666667</v>
      </c>
      <c r="AA10" s="79"/>
      <c r="AB10" s="34">
        <v>1000</v>
      </c>
      <c r="AC10" s="83">
        <f>AB10/12*10</f>
        <v>833.33333333333326</v>
      </c>
      <c r="AD10" s="35">
        <v>763.34</v>
      </c>
      <c r="AE10" s="79">
        <f>AC10-AD10</f>
        <v>69.993333333333226</v>
      </c>
      <c r="AF10" s="11"/>
      <c r="AG10" s="84"/>
    </row>
    <row r="11" spans="1:34" x14ac:dyDescent="0.3">
      <c r="A11" s="80" t="s">
        <v>127</v>
      </c>
      <c r="B11" s="80"/>
      <c r="C11" s="80"/>
      <c r="D11" s="81">
        <f>E11-I11</f>
        <v>0</v>
      </c>
      <c r="E11" s="259">
        <v>168</v>
      </c>
      <c r="F11" s="303"/>
      <c r="G11" s="80"/>
      <c r="H11" s="81">
        <f>I11-P11</f>
        <v>0</v>
      </c>
      <c r="I11" s="303">
        <v>168</v>
      </c>
      <c r="J11" s="83">
        <f>I11/12*Summary!$H$30</f>
        <v>140</v>
      </c>
      <c r="K11" s="268">
        <v>168</v>
      </c>
      <c r="L11" s="83">
        <f>J11-K11</f>
        <v>-28</v>
      </c>
      <c r="M11" s="243"/>
      <c r="N11" s="243"/>
      <c r="O11" s="81">
        <f>P11-W11</f>
        <v>168</v>
      </c>
      <c r="P11" s="82">
        <f>140*1.2</f>
        <v>168</v>
      </c>
      <c r="Q11" s="83">
        <f t="shared" si="0"/>
        <v>168</v>
      </c>
      <c r="R11" s="348">
        <v>168</v>
      </c>
      <c r="S11" s="83">
        <f>Q11-R11</f>
        <v>0</v>
      </c>
      <c r="T11" s="79"/>
      <c r="U11" s="79"/>
      <c r="V11" s="77">
        <f>W11-AB11</f>
        <v>0</v>
      </c>
      <c r="W11" s="34">
        <v>0</v>
      </c>
      <c r="X11" s="83">
        <f>W11/12*10</f>
        <v>0</v>
      </c>
      <c r="Y11" s="83">
        <v>0</v>
      </c>
      <c r="Z11" s="83">
        <f>X11-Y11</f>
        <v>0</v>
      </c>
      <c r="AA11" s="79"/>
      <c r="AB11" s="34">
        <v>0</v>
      </c>
      <c r="AC11" s="83">
        <f>AB11/12*10</f>
        <v>0</v>
      </c>
      <c r="AD11" s="35">
        <v>0</v>
      </c>
      <c r="AE11" s="79">
        <f>AC11-AD11</f>
        <v>0</v>
      </c>
      <c r="AF11" s="11"/>
      <c r="AG11" s="84"/>
      <c r="AH11" s="17"/>
    </row>
    <row r="12" spans="1:34" x14ac:dyDescent="0.3">
      <c r="A12" s="80"/>
      <c r="B12" s="80"/>
      <c r="C12" s="80"/>
      <c r="D12" s="81"/>
      <c r="E12" s="243"/>
      <c r="F12" s="303"/>
      <c r="G12" s="80"/>
      <c r="H12" s="81"/>
      <c r="I12" s="303"/>
      <c r="J12" s="83"/>
      <c r="K12" s="83"/>
      <c r="L12" s="83"/>
      <c r="M12" s="243"/>
      <c r="N12" s="243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  <c r="AG12" s="73"/>
    </row>
    <row r="13" spans="1:34" s="129" customFormat="1" ht="15" thickBot="1" x14ac:dyDescent="0.35">
      <c r="A13" s="135" t="s">
        <v>139</v>
      </c>
      <c r="B13" s="76"/>
      <c r="C13" s="76"/>
      <c r="D13" s="85">
        <f>SUM(D7:D12)</f>
        <v>270</v>
      </c>
      <c r="E13" s="86">
        <f>SUM(E7:E12)</f>
        <v>2483</v>
      </c>
      <c r="F13" s="304"/>
      <c r="G13" s="147"/>
      <c r="H13" s="85">
        <f>SUM(H7:H12)</f>
        <v>45.56</v>
      </c>
      <c r="I13" s="331">
        <f>SUM(I7:I12)</f>
        <v>2213</v>
      </c>
      <c r="J13" s="88">
        <f>SUM(J7:J12)</f>
        <v>1844.1666666666665</v>
      </c>
      <c r="K13" s="88">
        <f>SUM(K7:K12)</f>
        <v>2517</v>
      </c>
      <c r="L13" s="88">
        <f>SUM(L7:L12)</f>
        <v>-672.83333333333348</v>
      </c>
      <c r="M13" s="100"/>
      <c r="N13" s="100"/>
      <c r="O13" s="85">
        <f>SUM(O7:O12)</f>
        <v>107.44</v>
      </c>
      <c r="P13" s="86">
        <f>SUM(P7:P12)</f>
        <v>2167.44</v>
      </c>
      <c r="Q13" s="88">
        <f>SUM(Q7:Q12)</f>
        <v>2167.44</v>
      </c>
      <c r="R13" s="349">
        <f>SUM(R7:R12)</f>
        <v>2124</v>
      </c>
      <c r="S13" s="88">
        <f>SUM(S7:S12)</f>
        <v>43.44</v>
      </c>
      <c r="T13" s="87"/>
      <c r="U13" s="87"/>
      <c r="V13" s="85">
        <f>SUM(V7:V12)</f>
        <v>175</v>
      </c>
      <c r="W13" s="86">
        <f>SUM(W7:W12)</f>
        <v>2060</v>
      </c>
      <c r="X13" s="88">
        <f>SUM(X7:X12)</f>
        <v>1716.6666666666665</v>
      </c>
      <c r="Y13" s="88">
        <f>SUM(Y7:Y12)</f>
        <v>3188</v>
      </c>
      <c r="Z13" s="88">
        <f>SUM(Z7:Z12)</f>
        <v>-1471.3333333333335</v>
      </c>
      <c r="AA13" s="87"/>
      <c r="AB13" s="89">
        <f>SUM(AB7:AB12)</f>
        <v>1885</v>
      </c>
      <c r="AC13" s="88">
        <f>SUM(AC7:AC12)</f>
        <v>1570.8333333333333</v>
      </c>
      <c r="AD13" s="88">
        <f>SUM(AD7:AD12)</f>
        <v>1460.21</v>
      </c>
      <c r="AE13" s="88">
        <f>SUM(AE7:AE12)</f>
        <v>110.62333333333322</v>
      </c>
      <c r="AF13" s="13"/>
      <c r="AG13" s="90"/>
    </row>
    <row r="14" spans="1:34" x14ac:dyDescent="0.3">
      <c r="D14" s="31"/>
      <c r="E14" s="32"/>
      <c r="F14" s="315"/>
      <c r="H14" s="31"/>
      <c r="J14" s="30"/>
      <c r="K14" s="30"/>
      <c r="L14" s="30"/>
      <c r="O14" s="31"/>
      <c r="Q14" s="30"/>
      <c r="R14" s="361"/>
      <c r="V14" s="31"/>
      <c r="W14" s="32"/>
      <c r="AB14" s="32"/>
      <c r="AG14" s="73"/>
    </row>
    <row r="15" spans="1:34" x14ac:dyDescent="0.3">
      <c r="A15" s="47" t="s">
        <v>23</v>
      </c>
      <c r="D15" s="31"/>
      <c r="E15" s="32"/>
      <c r="F15" s="315"/>
      <c r="G15" s="47"/>
      <c r="H15" s="31"/>
      <c r="J15" s="30"/>
      <c r="K15" s="30"/>
      <c r="L15" s="30"/>
      <c r="O15" s="31"/>
      <c r="Q15" s="30"/>
      <c r="R15" s="361"/>
      <c r="V15" s="31"/>
      <c r="W15" s="32"/>
      <c r="AB15" s="32"/>
      <c r="AG15" s="73"/>
    </row>
    <row r="16" spans="1:34" x14ac:dyDescent="0.3">
      <c r="A16" s="48" t="s">
        <v>11</v>
      </c>
      <c r="B16" s="80" t="s">
        <v>228</v>
      </c>
      <c r="C16" s="80"/>
      <c r="D16" s="81">
        <f t="shared" ref="D16:D24" si="1">E16-I16</f>
        <v>0</v>
      </c>
      <c r="E16" s="346">
        <v>1000</v>
      </c>
      <c r="F16" s="393"/>
      <c r="G16" s="48"/>
      <c r="H16" s="81">
        <f t="shared" ref="H16:H24" si="2">I16-P16</f>
        <v>795.2</v>
      </c>
      <c r="I16" s="303">
        <v>1000</v>
      </c>
      <c r="J16" s="83">
        <f>I16/12*Summary!$H$30</f>
        <v>833.33333333333326</v>
      </c>
      <c r="K16" s="270">
        <v>1931.85</v>
      </c>
      <c r="L16" s="83">
        <f t="shared" ref="L16:L24" si="3">J16-K16</f>
        <v>-1098.5166666666667</v>
      </c>
      <c r="M16" s="243"/>
      <c r="N16" s="243"/>
      <c r="O16" s="81">
        <f t="shared" ref="O16:O24" si="4">P16-W16</f>
        <v>4.8000000000000114</v>
      </c>
      <c r="P16" s="82">
        <f>W16+(W16*$P$36)</f>
        <v>204.8</v>
      </c>
      <c r="Q16" s="83">
        <f t="shared" ref="Q16:Q24" si="5">P16</f>
        <v>204.8</v>
      </c>
      <c r="R16" s="357">
        <v>428</v>
      </c>
      <c r="S16" s="83">
        <f t="shared" ref="S16:S24" si="6">Q16-R16</f>
        <v>-223.2</v>
      </c>
      <c r="V16" s="77">
        <f t="shared" ref="V16:V24" si="7">W16-AB16</f>
        <v>-400</v>
      </c>
      <c r="W16" s="34">
        <v>200</v>
      </c>
      <c r="X16" s="83">
        <f t="shared" ref="X16:X24" si="8">W16/12*10</f>
        <v>166.66666666666669</v>
      </c>
      <c r="Y16" s="114">
        <v>2883.38</v>
      </c>
      <c r="Z16" s="83">
        <f t="shared" ref="Z16:Z24" si="9">X16-Y16</f>
        <v>-2716.7133333333336</v>
      </c>
      <c r="AB16" s="34">
        <v>600</v>
      </c>
      <c r="AC16" s="83">
        <f t="shared" ref="AC16:AC24" si="10">AB16/12*10</f>
        <v>500</v>
      </c>
      <c r="AD16" s="35">
        <v>154</v>
      </c>
      <c r="AE16" s="79">
        <f t="shared" ref="AE16:AE24" si="11">AC16-AD16</f>
        <v>346</v>
      </c>
      <c r="AG16" s="73"/>
    </row>
    <row r="17" spans="1:34" x14ac:dyDescent="0.3">
      <c r="A17" s="48" t="s">
        <v>16</v>
      </c>
      <c r="B17" s="80" t="s">
        <v>228</v>
      </c>
      <c r="C17" s="80"/>
      <c r="D17" s="81">
        <f t="shared" si="1"/>
        <v>0</v>
      </c>
      <c r="E17" s="346">
        <v>50</v>
      </c>
      <c r="F17" s="393"/>
      <c r="G17" s="48"/>
      <c r="H17" s="81">
        <f t="shared" si="2"/>
        <v>-1.2000000000000028</v>
      </c>
      <c r="I17" s="303">
        <v>50</v>
      </c>
      <c r="J17" s="83">
        <f>I17/12*Summary!$H$30</f>
        <v>41.666666666666671</v>
      </c>
      <c r="K17" s="270">
        <v>0</v>
      </c>
      <c r="L17" s="83">
        <f t="shared" si="3"/>
        <v>41.666666666666671</v>
      </c>
      <c r="M17" s="243"/>
      <c r="N17" s="243"/>
      <c r="O17" s="81">
        <f t="shared" si="4"/>
        <v>1.2000000000000028</v>
      </c>
      <c r="P17" s="82">
        <f>W17+(W17*$P$36)</f>
        <v>51.2</v>
      </c>
      <c r="Q17" s="83">
        <f t="shared" si="5"/>
        <v>51.2</v>
      </c>
      <c r="R17" s="357">
        <v>0</v>
      </c>
      <c r="S17" s="83">
        <f t="shared" si="6"/>
        <v>51.2</v>
      </c>
      <c r="V17" s="77">
        <f t="shared" si="7"/>
        <v>0</v>
      </c>
      <c r="W17" s="34">
        <v>50</v>
      </c>
      <c r="X17" s="83">
        <f t="shared" si="8"/>
        <v>41.666666666666671</v>
      </c>
      <c r="Y17" s="114">
        <v>0</v>
      </c>
      <c r="Z17" s="83">
        <f t="shared" si="9"/>
        <v>41.666666666666671</v>
      </c>
      <c r="AB17" s="34">
        <v>50</v>
      </c>
      <c r="AC17" s="83">
        <f t="shared" si="10"/>
        <v>41.666666666666671</v>
      </c>
      <c r="AD17" s="35">
        <v>0</v>
      </c>
      <c r="AE17" s="79">
        <f t="shared" si="11"/>
        <v>41.666666666666671</v>
      </c>
    </row>
    <row r="18" spans="1:34" x14ac:dyDescent="0.3">
      <c r="A18" s="48" t="s">
        <v>24</v>
      </c>
      <c r="B18" s="80" t="s">
        <v>228</v>
      </c>
      <c r="C18" s="80"/>
      <c r="D18" s="81">
        <f t="shared" si="1"/>
        <v>-50</v>
      </c>
      <c r="E18" s="346">
        <v>100</v>
      </c>
      <c r="F18" s="393"/>
      <c r="G18" s="48"/>
      <c r="H18" s="81">
        <f t="shared" si="2"/>
        <v>98.8</v>
      </c>
      <c r="I18" s="303">
        <v>150</v>
      </c>
      <c r="J18" s="83">
        <f>I18/12*Summary!$H$30</f>
        <v>125</v>
      </c>
      <c r="K18" s="270">
        <v>0</v>
      </c>
      <c r="L18" s="83">
        <f t="shared" si="3"/>
        <v>125</v>
      </c>
      <c r="M18" s="243"/>
      <c r="N18" s="243"/>
      <c r="O18" s="81">
        <f t="shared" si="4"/>
        <v>1.2000000000000028</v>
      </c>
      <c r="P18" s="82">
        <f>W18+(W18*$P$36)</f>
        <v>51.2</v>
      </c>
      <c r="Q18" s="83">
        <f t="shared" si="5"/>
        <v>51.2</v>
      </c>
      <c r="R18" s="357">
        <v>313</v>
      </c>
      <c r="S18" s="83">
        <f t="shared" si="6"/>
        <v>-261.8</v>
      </c>
      <c r="V18" s="77">
        <f t="shared" si="7"/>
        <v>0</v>
      </c>
      <c r="W18" s="34">
        <v>50</v>
      </c>
      <c r="X18" s="83">
        <f t="shared" si="8"/>
        <v>41.666666666666671</v>
      </c>
      <c r="Y18" s="114">
        <v>30</v>
      </c>
      <c r="Z18" s="83">
        <f t="shared" si="9"/>
        <v>11.666666666666671</v>
      </c>
      <c r="AB18" s="34">
        <v>50</v>
      </c>
      <c r="AC18" s="83">
        <f t="shared" si="10"/>
        <v>41.666666666666671</v>
      </c>
      <c r="AD18" s="35">
        <v>20</v>
      </c>
      <c r="AE18" s="79">
        <f t="shared" si="11"/>
        <v>21.666666666666671</v>
      </c>
    </row>
    <row r="19" spans="1:34" x14ac:dyDescent="0.3">
      <c r="A19" s="48" t="s">
        <v>129</v>
      </c>
      <c r="B19" s="80"/>
      <c r="C19" s="80"/>
      <c r="D19" s="81">
        <f t="shared" si="1"/>
        <v>0</v>
      </c>
      <c r="E19" s="259">
        <v>168</v>
      </c>
      <c r="F19" s="303"/>
      <c r="G19" s="48"/>
      <c r="H19" s="81">
        <f t="shared" si="2"/>
        <v>-152</v>
      </c>
      <c r="I19" s="303">
        <v>168</v>
      </c>
      <c r="J19" s="83">
        <f>I19/12*Summary!$H$30</f>
        <v>140</v>
      </c>
      <c r="K19" s="270">
        <v>0</v>
      </c>
      <c r="L19" s="83">
        <f t="shared" si="3"/>
        <v>140</v>
      </c>
      <c r="M19" s="243"/>
      <c r="N19" s="243"/>
      <c r="O19" s="81">
        <f t="shared" si="4"/>
        <v>120</v>
      </c>
      <c r="P19" s="82">
        <v>320</v>
      </c>
      <c r="Q19" s="83">
        <f t="shared" si="5"/>
        <v>320</v>
      </c>
      <c r="R19" s="357">
        <v>307</v>
      </c>
      <c r="S19" s="83">
        <f t="shared" si="6"/>
        <v>13</v>
      </c>
      <c r="V19" s="77">
        <f t="shared" si="7"/>
        <v>80</v>
      </c>
      <c r="W19" s="34">
        <v>200</v>
      </c>
      <c r="X19" s="83">
        <f t="shared" si="8"/>
        <v>166.66666666666669</v>
      </c>
      <c r="Y19" s="114">
        <v>24</v>
      </c>
      <c r="Z19" s="83">
        <f t="shared" si="9"/>
        <v>142.66666666666669</v>
      </c>
      <c r="AB19" s="34">
        <v>120</v>
      </c>
      <c r="AC19" s="83">
        <f t="shared" si="10"/>
        <v>100</v>
      </c>
      <c r="AD19" s="35">
        <v>48</v>
      </c>
      <c r="AE19" s="79">
        <f t="shared" si="11"/>
        <v>52</v>
      </c>
      <c r="AG19" s="73"/>
    </row>
    <row r="20" spans="1:34" x14ac:dyDescent="0.3">
      <c r="A20" s="48" t="s">
        <v>12</v>
      </c>
      <c r="D20" s="81">
        <f t="shared" si="1"/>
        <v>50</v>
      </c>
      <c r="E20" s="258">
        <v>150</v>
      </c>
      <c r="F20" s="315"/>
      <c r="G20" s="48"/>
      <c r="H20" s="81">
        <f t="shared" si="2"/>
        <v>50</v>
      </c>
      <c r="I20" s="315">
        <v>100</v>
      </c>
      <c r="J20" s="83">
        <f>I20/12*Summary!$H$30</f>
        <v>83.333333333333343</v>
      </c>
      <c r="K20" s="270">
        <v>0</v>
      </c>
      <c r="L20" s="83">
        <f t="shared" si="3"/>
        <v>83.333333333333343</v>
      </c>
      <c r="O20" s="81">
        <f t="shared" si="4"/>
        <v>0</v>
      </c>
      <c r="P20" s="82">
        <f>W20+(W20*$D$36)</f>
        <v>50</v>
      </c>
      <c r="Q20" s="83">
        <f t="shared" si="5"/>
        <v>50</v>
      </c>
      <c r="R20" s="357">
        <v>282</v>
      </c>
      <c r="S20" s="83">
        <f t="shared" si="6"/>
        <v>-232</v>
      </c>
      <c r="V20" s="77">
        <f t="shared" si="7"/>
        <v>-3</v>
      </c>
      <c r="W20" s="34">
        <v>50</v>
      </c>
      <c r="X20" s="83">
        <f t="shared" si="8"/>
        <v>41.666666666666671</v>
      </c>
      <c r="Y20" s="114">
        <v>90</v>
      </c>
      <c r="Z20" s="83">
        <f t="shared" si="9"/>
        <v>-48.333333333333329</v>
      </c>
      <c r="AB20" s="34">
        <v>53</v>
      </c>
      <c r="AC20" s="83">
        <f t="shared" si="10"/>
        <v>44.166666666666671</v>
      </c>
      <c r="AD20" s="35">
        <v>90</v>
      </c>
      <c r="AE20" s="79">
        <f t="shared" si="11"/>
        <v>-45.833333333333329</v>
      </c>
      <c r="AG20" s="73"/>
    </row>
    <row r="21" spans="1:34" x14ac:dyDescent="0.3">
      <c r="A21" s="48" t="s">
        <v>17</v>
      </c>
      <c r="D21" s="81">
        <f t="shared" si="1"/>
        <v>0</v>
      </c>
      <c r="E21" s="258">
        <v>0</v>
      </c>
      <c r="F21" s="315"/>
      <c r="G21" s="48"/>
      <c r="H21" s="81">
        <f t="shared" si="2"/>
        <v>0</v>
      </c>
      <c r="I21" s="315">
        <v>0</v>
      </c>
      <c r="J21" s="83">
        <f>I21/12*Summary!$H$30</f>
        <v>0</v>
      </c>
      <c r="K21" s="270">
        <v>0</v>
      </c>
      <c r="L21" s="83">
        <f t="shared" si="3"/>
        <v>0</v>
      </c>
      <c r="O21" s="81">
        <f t="shared" si="4"/>
        <v>-120</v>
      </c>
      <c r="P21" s="34">
        <v>0</v>
      </c>
      <c r="Q21" s="83">
        <f t="shared" si="5"/>
        <v>0</v>
      </c>
      <c r="R21" s="357">
        <v>0</v>
      </c>
      <c r="S21" s="83">
        <f t="shared" si="6"/>
        <v>0</v>
      </c>
      <c r="V21" s="77">
        <f t="shared" si="7"/>
        <v>30</v>
      </c>
      <c r="W21" s="34">
        <v>120</v>
      </c>
      <c r="X21" s="83">
        <f t="shared" si="8"/>
        <v>100</v>
      </c>
      <c r="Y21" s="114">
        <v>0</v>
      </c>
      <c r="Z21" s="83">
        <f t="shared" si="9"/>
        <v>100</v>
      </c>
      <c r="AB21" s="34">
        <v>90</v>
      </c>
      <c r="AC21" s="83">
        <f t="shared" si="10"/>
        <v>75</v>
      </c>
      <c r="AD21" s="35">
        <v>50</v>
      </c>
      <c r="AE21" s="79">
        <f t="shared" si="11"/>
        <v>25</v>
      </c>
      <c r="AG21" s="73"/>
    </row>
    <row r="22" spans="1:34" x14ac:dyDescent="0.3">
      <c r="A22" s="48" t="s">
        <v>106</v>
      </c>
      <c r="D22" s="81">
        <f t="shared" si="1"/>
        <v>0</v>
      </c>
      <c r="E22" s="258">
        <v>0</v>
      </c>
      <c r="F22" s="315"/>
      <c r="G22" s="48"/>
      <c r="H22" s="81">
        <f t="shared" si="2"/>
        <v>0</v>
      </c>
      <c r="I22" s="315">
        <v>0</v>
      </c>
      <c r="J22" s="83">
        <f>I22/12*Summary!$H$30</f>
        <v>0</v>
      </c>
      <c r="K22" s="270">
        <v>0</v>
      </c>
      <c r="L22" s="83">
        <f t="shared" si="3"/>
        <v>0</v>
      </c>
      <c r="O22" s="81">
        <f t="shared" si="4"/>
        <v>-1000</v>
      </c>
      <c r="P22" s="34">
        <v>0</v>
      </c>
      <c r="Q22" s="83">
        <f t="shared" si="5"/>
        <v>0</v>
      </c>
      <c r="R22" s="357">
        <v>180</v>
      </c>
      <c r="S22" s="83">
        <f t="shared" si="6"/>
        <v>-180</v>
      </c>
      <c r="V22" s="77">
        <f t="shared" si="7"/>
        <v>1000</v>
      </c>
      <c r="W22" s="34">
        <v>1000</v>
      </c>
      <c r="X22" s="83">
        <f t="shared" si="8"/>
        <v>833.33333333333326</v>
      </c>
      <c r="Y22" s="114">
        <v>513.6</v>
      </c>
      <c r="Z22" s="83">
        <f t="shared" si="9"/>
        <v>319.73333333333323</v>
      </c>
      <c r="AB22" s="34">
        <v>0</v>
      </c>
      <c r="AC22" s="83">
        <f t="shared" si="10"/>
        <v>0</v>
      </c>
      <c r="AD22" s="35">
        <v>3923.52</v>
      </c>
      <c r="AE22" s="79">
        <f t="shared" si="11"/>
        <v>-3923.52</v>
      </c>
      <c r="AG22" s="73"/>
      <c r="AH22" s="46"/>
    </row>
    <row r="23" spans="1:34" x14ac:dyDescent="0.3">
      <c r="A23" s="48" t="s">
        <v>109</v>
      </c>
      <c r="D23" s="81">
        <f t="shared" si="1"/>
        <v>0</v>
      </c>
      <c r="E23" s="258">
        <v>0</v>
      </c>
      <c r="F23" s="315"/>
      <c r="G23" s="48"/>
      <c r="H23" s="81">
        <f t="shared" si="2"/>
        <v>0</v>
      </c>
      <c r="I23" s="315">
        <v>0</v>
      </c>
      <c r="J23" s="83">
        <f>I23/12*Summary!$H$30</f>
        <v>0</v>
      </c>
      <c r="K23" s="270">
        <v>0</v>
      </c>
      <c r="L23" s="83">
        <f t="shared" si="3"/>
        <v>0</v>
      </c>
      <c r="O23" s="81">
        <f t="shared" si="4"/>
        <v>0</v>
      </c>
      <c r="P23" s="34">
        <v>0</v>
      </c>
      <c r="Q23" s="83">
        <f t="shared" si="5"/>
        <v>0</v>
      </c>
      <c r="R23" s="357">
        <v>0</v>
      </c>
      <c r="S23" s="83">
        <f t="shared" si="6"/>
        <v>0</v>
      </c>
      <c r="V23" s="77">
        <f t="shared" si="7"/>
        <v>0</v>
      </c>
      <c r="W23" s="34">
        <v>0</v>
      </c>
      <c r="X23" s="83">
        <f t="shared" si="8"/>
        <v>0</v>
      </c>
      <c r="Y23" s="114">
        <v>8191.2</v>
      </c>
      <c r="Z23" s="83">
        <f t="shared" si="9"/>
        <v>-8191.2</v>
      </c>
      <c r="AB23" s="34">
        <v>0</v>
      </c>
      <c r="AC23" s="83">
        <f t="shared" si="10"/>
        <v>0</v>
      </c>
      <c r="AD23" s="35">
        <v>0</v>
      </c>
      <c r="AE23" s="79">
        <f t="shared" si="11"/>
        <v>0</v>
      </c>
      <c r="AG23" s="73"/>
    </row>
    <row r="24" spans="1:34" x14ac:dyDescent="0.3">
      <c r="A24" s="48" t="s">
        <v>130</v>
      </c>
      <c r="D24" s="81">
        <f t="shared" si="1"/>
        <v>0</v>
      </c>
      <c r="E24" s="258">
        <v>0</v>
      </c>
      <c r="F24" s="315"/>
      <c r="G24" s="48"/>
      <c r="H24" s="81">
        <f t="shared" si="2"/>
        <v>-321.90476190476193</v>
      </c>
      <c r="I24" s="315">
        <v>0</v>
      </c>
      <c r="J24" s="83">
        <f>I24/12*Summary!$H$30</f>
        <v>0</v>
      </c>
      <c r="K24" s="270">
        <v>0</v>
      </c>
      <c r="L24" s="83">
        <f t="shared" si="3"/>
        <v>0</v>
      </c>
      <c r="O24" s="81">
        <f t="shared" si="4"/>
        <v>321.90476190476193</v>
      </c>
      <c r="P24" s="34">
        <f>Reserves!X12</f>
        <v>321.90476190476193</v>
      </c>
      <c r="Q24" s="83">
        <f t="shared" si="5"/>
        <v>321.90476190476193</v>
      </c>
      <c r="R24" s="357">
        <v>635</v>
      </c>
      <c r="S24" s="83">
        <f t="shared" si="6"/>
        <v>-313.09523809523807</v>
      </c>
      <c r="V24" s="77">
        <f t="shared" si="7"/>
        <v>0</v>
      </c>
      <c r="W24" s="34">
        <v>0</v>
      </c>
      <c r="X24" s="83">
        <f t="shared" si="8"/>
        <v>0</v>
      </c>
      <c r="Y24" s="114">
        <v>0</v>
      </c>
      <c r="Z24" s="83">
        <f t="shared" si="9"/>
        <v>0</v>
      </c>
      <c r="AB24" s="34">
        <v>0</v>
      </c>
      <c r="AC24" s="83">
        <f t="shared" si="10"/>
        <v>0</v>
      </c>
      <c r="AD24" s="35">
        <v>0</v>
      </c>
      <c r="AE24" s="79">
        <f t="shared" si="11"/>
        <v>0</v>
      </c>
      <c r="AG24" s="73"/>
      <c r="AH24" s="46"/>
    </row>
    <row r="25" spans="1:34" x14ac:dyDescent="0.3">
      <c r="A25" s="48"/>
      <c r="D25" s="81"/>
      <c r="E25" s="32"/>
      <c r="F25" s="315"/>
      <c r="G25" s="48"/>
      <c r="H25" s="81"/>
      <c r="J25" s="83"/>
      <c r="K25" s="30">
        <v>0</v>
      </c>
      <c r="L25" s="30"/>
      <c r="O25" s="81"/>
      <c r="P25" s="34"/>
      <c r="Q25" s="83"/>
      <c r="R25" s="361"/>
      <c r="V25" s="77"/>
      <c r="W25" s="34"/>
      <c r="X25" s="83"/>
      <c r="AB25" s="34"/>
      <c r="AC25" s="83"/>
      <c r="AD25" s="35"/>
      <c r="AE25" s="79"/>
      <c r="AG25" s="73"/>
    </row>
    <row r="26" spans="1:34" s="129" customFormat="1" ht="15" thickBot="1" x14ac:dyDescent="0.35">
      <c r="A26" s="135" t="s">
        <v>140</v>
      </c>
      <c r="D26" s="91">
        <f>SUM(D15:D25)</f>
        <v>0</v>
      </c>
      <c r="E26" s="92">
        <f>SUM(E15:E25)</f>
        <v>1468</v>
      </c>
      <c r="F26" s="424"/>
      <c r="G26" s="147"/>
      <c r="H26" s="91">
        <f>SUM(H15:H25)</f>
        <v>468.89523809523803</v>
      </c>
      <c r="I26" s="337">
        <f>SUM(I15:I25)</f>
        <v>1468</v>
      </c>
      <c r="J26" s="93">
        <f>SUM(J15:J25)</f>
        <v>1223.3333333333333</v>
      </c>
      <c r="K26" s="93">
        <f>SUM(K15:K25)</f>
        <v>1931.85</v>
      </c>
      <c r="L26" s="93">
        <f>SUM(L15:L25)</f>
        <v>-708.51666666666654</v>
      </c>
      <c r="M26" s="254"/>
      <c r="N26" s="254"/>
      <c r="O26" s="91">
        <f>SUM(O15:O25)</f>
        <v>-670.89523809523803</v>
      </c>
      <c r="P26" s="92">
        <f>SUM(P15:P25)</f>
        <v>999.10476190476197</v>
      </c>
      <c r="Q26" s="93">
        <f>SUM(Q15:Q25)</f>
        <v>999.10476190476197</v>
      </c>
      <c r="R26" s="362">
        <f>SUM(R15:R25)</f>
        <v>2145</v>
      </c>
      <c r="S26" s="93">
        <f>SUM(S15:S25)</f>
        <v>-1145.895238095238</v>
      </c>
      <c r="V26" s="91">
        <f>SUM(V15:V25)</f>
        <v>707</v>
      </c>
      <c r="W26" s="92">
        <f>SUM(W15:W25)</f>
        <v>1670</v>
      </c>
      <c r="X26" s="93">
        <f>SUM(X15:X25)</f>
        <v>1391.6666666666667</v>
      </c>
      <c r="Y26" s="93">
        <f>SUM(Y15:Y25)</f>
        <v>11732.18</v>
      </c>
      <c r="Z26" s="93">
        <f>SUM(Z15:Z25)</f>
        <v>-10340.513333333334</v>
      </c>
      <c r="AB26" s="92">
        <f>SUM(AB15:AB25)</f>
        <v>963</v>
      </c>
      <c r="AC26" s="93">
        <f>SUM(AC15:AC25)</f>
        <v>802.49999999999989</v>
      </c>
      <c r="AD26" s="93">
        <f>SUM(AD15:AD25)</f>
        <v>4285.5200000000004</v>
      </c>
      <c r="AE26" s="93">
        <f>SUM(AE15:AE25)</f>
        <v>-3483.02</v>
      </c>
      <c r="AG26" s="90"/>
    </row>
    <row r="27" spans="1:34" x14ac:dyDescent="0.3">
      <c r="A27" s="33"/>
      <c r="D27" s="360"/>
      <c r="E27" s="32"/>
      <c r="F27" s="315"/>
      <c r="G27" s="33"/>
      <c r="H27" s="94"/>
      <c r="J27" s="35"/>
      <c r="K27" s="35"/>
      <c r="L27" s="35"/>
      <c r="O27" s="94"/>
      <c r="P27" s="39"/>
      <c r="Q27" s="40"/>
      <c r="R27" s="363"/>
      <c r="S27" s="40"/>
      <c r="V27" s="94"/>
      <c r="W27" s="39"/>
      <c r="X27" s="40"/>
      <c r="Y27" s="40"/>
      <c r="Z27" s="40"/>
      <c r="AB27" s="39"/>
      <c r="AC27" s="40"/>
      <c r="AD27" s="40"/>
      <c r="AE27" s="40"/>
      <c r="AG27" s="73"/>
    </row>
    <row r="28" spans="1:34" x14ac:dyDescent="0.3">
      <c r="A28" s="48" t="s">
        <v>88</v>
      </c>
      <c r="D28" s="81">
        <f>E28-I28</f>
        <v>0</v>
      </c>
      <c r="E28" s="259">
        <f>I28</f>
        <v>670</v>
      </c>
      <c r="F28" s="303"/>
      <c r="G28" s="48"/>
      <c r="H28" s="81">
        <f>I28-P28</f>
        <v>0</v>
      </c>
      <c r="I28" s="276">
        <f>P28</f>
        <v>670</v>
      </c>
      <c r="J28" s="83">
        <f>I28/12*Summary!$H$30</f>
        <v>558.33333333333337</v>
      </c>
      <c r="K28" s="257">
        <v>558</v>
      </c>
      <c r="L28" s="83">
        <f t="shared" ref="L28" si="12">J28-K28</f>
        <v>0.33333333333337123</v>
      </c>
      <c r="M28" s="240"/>
      <c r="N28" s="240"/>
      <c r="O28" s="81">
        <f>P28-W28</f>
        <v>0</v>
      </c>
      <c r="P28" s="34">
        <v>670</v>
      </c>
      <c r="Q28" s="83">
        <f>P28</f>
        <v>670</v>
      </c>
      <c r="R28" s="361">
        <v>670</v>
      </c>
      <c r="V28" s="77">
        <f t="shared" ref="V28" si="13">W28-AB28</f>
        <v>0</v>
      </c>
      <c r="W28" s="34">
        <v>670</v>
      </c>
      <c r="X28" s="83">
        <f>W28/12*10</f>
        <v>558.33333333333337</v>
      </c>
      <c r="Y28" s="30">
        <v>0</v>
      </c>
      <c r="AB28" s="34">
        <v>670</v>
      </c>
      <c r="AC28" s="35">
        <f t="shared" ref="AC28" si="14">SUM(AB28/12*10)</f>
        <v>558.33333333333337</v>
      </c>
      <c r="AD28" s="35">
        <v>0</v>
      </c>
      <c r="AE28" s="79">
        <f>AC28-AD28</f>
        <v>558.33333333333337</v>
      </c>
      <c r="AG28" s="73"/>
    </row>
    <row r="29" spans="1:34" x14ac:dyDescent="0.3">
      <c r="A29" s="48"/>
      <c r="D29" s="81"/>
      <c r="E29" s="32"/>
      <c r="F29" s="315"/>
      <c r="G29" s="48"/>
      <c r="J29" s="83"/>
      <c r="K29" s="30"/>
      <c r="L29" s="30"/>
      <c r="O29" s="81"/>
      <c r="P29" s="34"/>
      <c r="Q29" s="83"/>
      <c r="R29" s="361"/>
      <c r="V29" s="77"/>
      <c r="W29" s="34"/>
      <c r="X29" s="83"/>
      <c r="AB29" s="34"/>
      <c r="AC29" s="35"/>
      <c r="AD29" s="35"/>
      <c r="AE29" s="79"/>
      <c r="AG29" s="73"/>
    </row>
    <row r="30" spans="1:34" s="129" customFormat="1" ht="15" thickBot="1" x14ac:dyDescent="0.35">
      <c r="A30" s="135" t="s">
        <v>138</v>
      </c>
      <c r="D30" s="91">
        <f>D13+D26+D28</f>
        <v>270</v>
      </c>
      <c r="E30" s="92">
        <f>E13+E26+E28</f>
        <v>4621</v>
      </c>
      <c r="F30" s="424"/>
      <c r="G30" s="147"/>
      <c r="H30" s="91">
        <f>H13+H26+H28</f>
        <v>514.45523809523797</v>
      </c>
      <c r="I30" s="337">
        <f>I13+I26+I28</f>
        <v>4351</v>
      </c>
      <c r="J30" s="93">
        <f>J13+J26+J28</f>
        <v>3625.8333333333335</v>
      </c>
      <c r="K30" s="93">
        <f>K13+K26+K28</f>
        <v>5006.8500000000004</v>
      </c>
      <c r="L30" s="93">
        <f>L13+L26+L28</f>
        <v>-1381.0166666666664</v>
      </c>
      <c r="M30" s="254"/>
      <c r="N30" s="254"/>
      <c r="O30" s="91">
        <f>O13+O26+O28</f>
        <v>-563.45523809523797</v>
      </c>
      <c r="P30" s="92">
        <f>P13+P26+P28</f>
        <v>3836.5447619047618</v>
      </c>
      <c r="Q30" s="93">
        <f>Q13+Q26+Q28</f>
        <v>3836.5447619047618</v>
      </c>
      <c r="R30" s="362">
        <f>R13+R26+R28</f>
        <v>4939</v>
      </c>
      <c r="S30" s="93">
        <f>S13+S26+S28</f>
        <v>-1102.455238095238</v>
      </c>
      <c r="V30" s="91">
        <f>V13+V26+V28</f>
        <v>882</v>
      </c>
      <c r="W30" s="92">
        <f>W13+W26+W28</f>
        <v>4400</v>
      </c>
      <c r="X30" s="93">
        <f>X13+X26+X28</f>
        <v>3666.6666666666665</v>
      </c>
      <c r="Y30" s="93">
        <f>Y13+Y26+Y28</f>
        <v>14920.18</v>
      </c>
      <c r="Z30" s="93">
        <f>Z13+Z26+Z28</f>
        <v>-11811.846666666668</v>
      </c>
      <c r="AB30" s="92">
        <f>AB13+AB26+AB28</f>
        <v>3518</v>
      </c>
      <c r="AC30" s="93">
        <f>AC13+AC26+AC28</f>
        <v>2931.6666666666665</v>
      </c>
      <c r="AD30" s="93">
        <f>AD13+AD26+AD28</f>
        <v>5745.7300000000005</v>
      </c>
      <c r="AE30" s="93">
        <f>AE13+AE26+AE28</f>
        <v>-2814.063333333333</v>
      </c>
      <c r="AG30" s="90"/>
    </row>
    <row r="31" spans="1:34" x14ac:dyDescent="0.3">
      <c r="A31" s="33"/>
      <c r="D31" s="81"/>
      <c r="E31" s="32"/>
      <c r="F31" s="315"/>
      <c r="G31" s="33"/>
      <c r="H31" s="81"/>
      <c r="J31" s="30"/>
      <c r="K31" s="30"/>
      <c r="L31" s="30"/>
      <c r="Q31" s="30"/>
      <c r="R31" s="361"/>
      <c r="V31" s="31"/>
      <c r="W31" s="39"/>
      <c r="AB31" s="39"/>
      <c r="AC31" s="40"/>
      <c r="AD31" s="40"/>
      <c r="AG31" s="73"/>
    </row>
    <row r="32" spans="1:34" ht="15.6" x14ac:dyDescent="0.3">
      <c r="A32" s="33" t="s">
        <v>95</v>
      </c>
      <c r="D32" s="81">
        <f>E32-I32</f>
        <v>675</v>
      </c>
      <c r="E32" s="243">
        <f>Reserves!E12</f>
        <v>4500</v>
      </c>
      <c r="F32" s="303"/>
      <c r="G32" s="33"/>
      <c r="H32" s="81">
        <f>I32-P32</f>
        <v>-675</v>
      </c>
      <c r="I32" s="276">
        <v>3825</v>
      </c>
      <c r="J32" s="83">
        <f>I32/12*Summary!$H$30</f>
        <v>3187.5</v>
      </c>
      <c r="K32" s="448">
        <f>J32</f>
        <v>3187.5</v>
      </c>
      <c r="L32" s="83">
        <f t="shared" ref="L32" si="15">J32-K32</f>
        <v>0</v>
      </c>
      <c r="M32" s="240"/>
      <c r="N32" s="240"/>
      <c r="O32" s="81">
        <f>P32-W32</f>
        <v>0</v>
      </c>
      <c r="P32" s="39">
        <v>4500</v>
      </c>
      <c r="Q32" s="83">
        <f>P32</f>
        <v>4500</v>
      </c>
      <c r="R32" s="361">
        <v>4500</v>
      </c>
      <c r="V32" s="77">
        <f t="shared" ref="V32" si="16">W32-AB32</f>
        <v>0</v>
      </c>
      <c r="W32" s="39">
        <v>4500</v>
      </c>
      <c r="X32" s="83">
        <f>W32/12*10</f>
        <v>3750</v>
      </c>
      <c r="Y32" s="30">
        <v>0</v>
      </c>
      <c r="AB32" s="34">
        <v>4500</v>
      </c>
      <c r="AC32" s="35">
        <f t="shared" ref="AC32" si="17">SUM(AB32/12*10)</f>
        <v>3750</v>
      </c>
      <c r="AD32" s="35">
        <v>3375</v>
      </c>
      <c r="AE32" s="79">
        <f t="shared" ref="AE32" si="18">AC32-AD32</f>
        <v>375</v>
      </c>
      <c r="AG32" s="74" t="s">
        <v>228</v>
      </c>
    </row>
    <row r="33" spans="1:41" x14ac:dyDescent="0.3">
      <c r="A33" s="33"/>
      <c r="D33" s="81"/>
      <c r="E33" s="32"/>
      <c r="F33" s="315"/>
      <c r="G33" s="33"/>
      <c r="H33" s="81"/>
      <c r="J33" s="83"/>
      <c r="K33" s="30"/>
      <c r="L33" s="30"/>
      <c r="O33" s="81"/>
      <c r="P33" s="39"/>
      <c r="Q33" s="83"/>
      <c r="R33" s="361"/>
      <c r="V33" s="77"/>
      <c r="W33" s="39"/>
      <c r="X33" s="83"/>
      <c r="AB33" s="34"/>
      <c r="AC33" s="35"/>
      <c r="AD33" s="35"/>
      <c r="AE33" s="79"/>
      <c r="AG33" s="74"/>
    </row>
    <row r="34" spans="1:41" s="129" customFormat="1" ht="15" thickBot="1" x14ac:dyDescent="0.35">
      <c r="A34" s="135" t="s">
        <v>1</v>
      </c>
      <c r="D34" s="95">
        <f t="shared" ref="D34" si="19">SUM(D30:D33)</f>
        <v>945</v>
      </c>
      <c r="E34" s="96">
        <f t="shared" ref="E34" si="20">SUM(E30:E33)</f>
        <v>9121</v>
      </c>
      <c r="F34" s="419"/>
      <c r="G34" s="147"/>
      <c r="H34" s="95">
        <f t="shared" ref="H34" si="21">SUM(H30:H33)</f>
        <v>-160.54476190476203</v>
      </c>
      <c r="I34" s="333">
        <f t="shared" ref="I34:L34" si="22">SUM(I30:I33)</f>
        <v>8176</v>
      </c>
      <c r="J34" s="50">
        <f t="shared" si="22"/>
        <v>6813.3333333333339</v>
      </c>
      <c r="K34" s="50">
        <f t="shared" si="22"/>
        <v>8194.35</v>
      </c>
      <c r="L34" s="50">
        <f t="shared" si="22"/>
        <v>-1381.0166666666664</v>
      </c>
      <c r="M34" s="251"/>
      <c r="N34" s="251"/>
      <c r="O34" s="125">
        <f>SUM(O30:O33)</f>
        <v>-563.45523809523797</v>
      </c>
      <c r="P34" s="96">
        <f t="shared" ref="P34" si="23">SUM(P30:P33)</f>
        <v>8336.5447619047627</v>
      </c>
      <c r="Q34" s="50">
        <f t="shared" ref="Q34:S34" si="24">SUM(Q30:Q33)</f>
        <v>8336.5447619047627</v>
      </c>
      <c r="R34" s="50">
        <f t="shared" si="24"/>
        <v>9439</v>
      </c>
      <c r="S34" s="50">
        <f t="shared" si="24"/>
        <v>-1102.455238095238</v>
      </c>
      <c r="V34" s="95">
        <f t="shared" ref="V34:Z34" si="25">SUM(V30:V33)</f>
        <v>882</v>
      </c>
      <c r="W34" s="96">
        <f t="shared" si="25"/>
        <v>8900</v>
      </c>
      <c r="X34" s="50">
        <f t="shared" si="25"/>
        <v>7416.6666666666661</v>
      </c>
      <c r="Y34" s="50">
        <f t="shared" si="25"/>
        <v>14920.18</v>
      </c>
      <c r="Z34" s="50">
        <f t="shared" si="25"/>
        <v>-11811.846666666668</v>
      </c>
      <c r="AB34" s="96">
        <f>SUM(AB30:AB33)</f>
        <v>8018</v>
      </c>
      <c r="AC34" s="50">
        <f t="shared" ref="AC34:AE34" si="26">SUM(AC30:AC33)</f>
        <v>6681.6666666666661</v>
      </c>
      <c r="AD34" s="50">
        <f t="shared" si="26"/>
        <v>9120.73</v>
      </c>
      <c r="AE34" s="50">
        <f t="shared" si="26"/>
        <v>-2439.063333333333</v>
      </c>
      <c r="AG34" s="155">
        <f>SUM(B34:AF34)</f>
        <v>97842.634285714303</v>
      </c>
      <c r="AH34" s="156" t="s">
        <v>143</v>
      </c>
    </row>
    <row r="35" spans="1:41" x14ac:dyDescent="0.3">
      <c r="AB35" s="32"/>
    </row>
    <row r="36" spans="1:41" x14ac:dyDescent="0.3">
      <c r="A36" s="233" t="str">
        <f>"* "&amp;Summary!$A$26</f>
        <v>* Inflation Factor, CPI to 16th September, 2020</v>
      </c>
      <c r="B36" s="233"/>
      <c r="C36" s="233"/>
      <c r="D36" s="233"/>
      <c r="E36" s="353">
        <f>Summary!$E$26</f>
        <v>5.0000000000000001E-3</v>
      </c>
      <c r="F36" s="201"/>
      <c r="G36" s="233"/>
      <c r="H36" s="436" t="str">
        <f>Summary!$H$26</f>
        <v>October, 2019</v>
      </c>
      <c r="I36" s="353">
        <f>Summary!$I$26</f>
        <v>1.7000000000000001E-2</v>
      </c>
      <c r="J36" s="311"/>
      <c r="K36" s="311"/>
      <c r="L36" s="311"/>
      <c r="M36" s="241"/>
      <c r="N36" s="241"/>
      <c r="O36" s="436" t="str">
        <f>Summary!$O$26</f>
        <v>October, 2018</v>
      </c>
      <c r="P36" s="353">
        <f>Summary!$P$26</f>
        <v>2.4E-2</v>
      </c>
      <c r="Q36" s="241"/>
    </row>
    <row r="37" spans="1:41" x14ac:dyDescent="0.3">
      <c r="D37" s="404"/>
      <c r="E37" s="404"/>
      <c r="F37" s="425"/>
      <c r="G37" s="404"/>
      <c r="H37" s="404"/>
      <c r="I37" s="405"/>
      <c r="J37" s="405"/>
      <c r="K37" s="405"/>
      <c r="L37" s="405"/>
      <c r="M37" s="406"/>
      <c r="N37" s="406"/>
      <c r="O37" s="406"/>
      <c r="P37" s="406"/>
      <c r="Q37" s="406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3"/>
      <c r="AK37" s="403"/>
      <c r="AL37" s="403"/>
      <c r="AM37" s="403"/>
      <c r="AN37" s="403"/>
      <c r="AO37" s="403"/>
    </row>
    <row r="38" spans="1:41" x14ac:dyDescent="0.3">
      <c r="A38" s="12" t="s">
        <v>94</v>
      </c>
      <c r="B38" s="12"/>
      <c r="C38" s="12"/>
      <c r="D38" s="12"/>
      <c r="E38" s="12"/>
      <c r="F38" s="399"/>
      <c r="G38" s="12"/>
      <c r="H38" s="233"/>
      <c r="I38" s="305"/>
      <c r="J38" s="305"/>
      <c r="K38" s="305"/>
      <c r="L38" s="407"/>
      <c r="M38" s="241"/>
      <c r="N38" s="241"/>
      <c r="O38" s="241"/>
      <c r="P38" s="241"/>
      <c r="Q38" s="241"/>
      <c r="R38" s="233"/>
    </row>
    <row r="39" spans="1:41" ht="30" customHeigh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4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4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4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4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4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4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4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4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41" x14ac:dyDescent="0.3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5" x14ac:dyDescent="0.3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5" x14ac:dyDescent="0.3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5" x14ac:dyDescent="0.3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5" x14ac:dyDescent="0.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5" x14ac:dyDescent="0.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5" x14ac:dyDescent="0.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5" x14ac:dyDescent="0.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5" x14ac:dyDescent="0.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5" x14ac:dyDescent="0.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5" x14ac:dyDescent="0.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5" x14ac:dyDescent="0.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5" ht="30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 s="355"/>
      <c r="O60" s="355"/>
    </row>
    <row r="61" spans="1:15" ht="30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 s="355"/>
      <c r="O61" s="355"/>
    </row>
    <row r="62" spans="1:15" ht="30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 s="355"/>
      <c r="O62" s="355"/>
    </row>
  </sheetData>
  <mergeCells count="17">
    <mergeCell ref="H4:H5"/>
    <mergeCell ref="D3:E3"/>
    <mergeCell ref="D4:D5"/>
    <mergeCell ref="E4:E5"/>
    <mergeCell ref="H3:L3"/>
    <mergeCell ref="I4:J4"/>
    <mergeCell ref="AB3:AE3"/>
    <mergeCell ref="O4:O5"/>
    <mergeCell ref="V4:V5"/>
    <mergeCell ref="W4:X4"/>
    <mergeCell ref="AB4:AC4"/>
    <mergeCell ref="X5:Z5"/>
    <mergeCell ref="AC5:AE5"/>
    <mergeCell ref="P4:Q4"/>
    <mergeCell ref="Q5:S5"/>
    <mergeCell ref="O3:S3"/>
    <mergeCell ref="V3:Z3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8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61"/>
  <sheetViews>
    <sheetView showGridLines="0" zoomScale="80" zoomScaleNormal="80" workbookViewId="0">
      <pane ySplit="5" topLeftCell="A26" activePane="bottomLeft" state="frozen"/>
      <selection activeCell="H32" sqref="H32:I32"/>
      <selection pane="bottomLeft" activeCell="S50" sqref="S50:S51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554687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s="347" customFormat="1" ht="21" x14ac:dyDescent="0.3">
      <c r="A1" s="54" t="s">
        <v>178</v>
      </c>
      <c r="B1" s="51"/>
      <c r="C1" s="51"/>
      <c r="D1" s="54" t="s">
        <v>172</v>
      </c>
      <c r="E1" s="233"/>
      <c r="F1" s="201"/>
      <c r="H1" s="181">
        <v>12</v>
      </c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x14ac:dyDescent="0.3">
      <c r="A7" s="76" t="s">
        <v>20</v>
      </c>
      <c r="B7" s="76"/>
      <c r="C7" s="76"/>
      <c r="D7" s="76"/>
      <c r="E7" s="76"/>
      <c r="F7" s="420"/>
      <c r="G7" s="76"/>
      <c r="H7" s="76"/>
      <c r="I7" s="314"/>
      <c r="J7" s="314"/>
      <c r="K7" s="76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80" t="s">
        <v>21</v>
      </c>
      <c r="B8" s="80"/>
      <c r="C8" s="80"/>
      <c r="D8" s="81">
        <f>E8-I8</f>
        <v>0</v>
      </c>
      <c r="E8" s="259">
        <v>880</v>
      </c>
      <c r="F8" s="303"/>
      <c r="G8" s="80"/>
      <c r="H8" s="81">
        <f>I8-P8</f>
        <v>152</v>
      </c>
      <c r="I8" s="303">
        <v>880</v>
      </c>
      <c r="J8" s="83">
        <f>I8/12*Summary!$H$30</f>
        <v>733.33333333333326</v>
      </c>
      <c r="K8" s="268">
        <v>586</v>
      </c>
      <c r="L8" s="83">
        <f>J8-K8</f>
        <v>147.33333333333326</v>
      </c>
      <c r="M8" s="243"/>
      <c r="N8" s="243"/>
      <c r="O8" s="81">
        <f>P8-W8</f>
        <v>-172</v>
      </c>
      <c r="P8" s="82">
        <v>728</v>
      </c>
      <c r="Q8" s="83">
        <f>P8</f>
        <v>728</v>
      </c>
      <c r="R8" s="348">
        <v>858</v>
      </c>
      <c r="S8" s="83">
        <f>Q8-R8</f>
        <v>-130</v>
      </c>
      <c r="T8" s="79"/>
      <c r="U8" s="79"/>
      <c r="V8" s="77">
        <f>W8-AB8</f>
        <v>215</v>
      </c>
      <c r="W8" s="82">
        <v>900</v>
      </c>
      <c r="X8" s="83">
        <f>W8/12*10</f>
        <v>750</v>
      </c>
      <c r="Y8" s="83">
        <v>496</v>
      </c>
      <c r="Z8" s="83">
        <f>X8-Y8</f>
        <v>254</v>
      </c>
      <c r="AA8" s="79"/>
      <c r="AB8" s="113">
        <v>685</v>
      </c>
      <c r="AC8" s="83">
        <f>AB8/12*10</f>
        <v>570.83333333333337</v>
      </c>
      <c r="AD8" s="114">
        <v>555.28</v>
      </c>
      <c r="AE8" s="79">
        <f>AC8-AD8</f>
        <v>15.553333333333399</v>
      </c>
      <c r="AF8" s="11"/>
      <c r="AG8" s="73"/>
    </row>
    <row r="9" spans="1:34" x14ac:dyDescent="0.3">
      <c r="A9" s="80" t="s">
        <v>14</v>
      </c>
      <c r="B9" s="80" t="s">
        <v>228</v>
      </c>
      <c r="C9" s="80"/>
      <c r="D9" s="81">
        <f>E9-I9</f>
        <v>0</v>
      </c>
      <c r="E9" s="346">
        <v>120</v>
      </c>
      <c r="F9" s="393"/>
      <c r="G9" s="80"/>
      <c r="H9" s="81">
        <f>I9-P9</f>
        <v>-2.8799999999999955</v>
      </c>
      <c r="I9" s="303">
        <v>120</v>
      </c>
      <c r="J9" s="83">
        <f>I9/12*Summary!$H$30</f>
        <v>100</v>
      </c>
      <c r="K9" s="268">
        <v>40</v>
      </c>
      <c r="L9" s="83">
        <f>J9-K9</f>
        <v>60</v>
      </c>
      <c r="M9" s="243"/>
      <c r="N9" s="243"/>
      <c r="O9" s="81">
        <f>P9-W9</f>
        <v>2.8799999999999955</v>
      </c>
      <c r="P9" s="82">
        <f>W9+(W9*$P$33)</f>
        <v>122.88</v>
      </c>
      <c r="Q9" s="83">
        <f t="shared" ref="Q9:Q11" si="0">P9</f>
        <v>122.88</v>
      </c>
      <c r="R9" s="348">
        <v>120</v>
      </c>
      <c r="S9" s="83">
        <f>Q9-R9</f>
        <v>2.8799999999999955</v>
      </c>
      <c r="T9" s="79"/>
      <c r="U9" s="79"/>
      <c r="V9" s="77">
        <f t="shared" ref="V9:V11" si="1">W9-AB9</f>
        <v>0</v>
      </c>
      <c r="W9" s="82">
        <v>120</v>
      </c>
      <c r="X9" s="83">
        <f>W9/12*10</f>
        <v>100</v>
      </c>
      <c r="Y9" s="83">
        <v>100</v>
      </c>
      <c r="Z9" s="83">
        <f>X9-Y9</f>
        <v>0</v>
      </c>
      <c r="AA9" s="79"/>
      <c r="AB9" s="113">
        <v>120</v>
      </c>
      <c r="AC9" s="83">
        <f>AB9/12*10</f>
        <v>100</v>
      </c>
      <c r="AD9" s="114">
        <v>100</v>
      </c>
      <c r="AE9" s="79">
        <f>AC9-AD9</f>
        <v>0</v>
      </c>
      <c r="AF9" s="11"/>
      <c r="AG9" s="73"/>
      <c r="AH9" s="17"/>
    </row>
    <row r="10" spans="1:34" ht="16.2" x14ac:dyDescent="0.3">
      <c r="A10" s="80" t="s">
        <v>166</v>
      </c>
      <c r="B10" s="80" t="s">
        <v>228</v>
      </c>
      <c r="C10" s="80"/>
      <c r="D10" s="81">
        <f>E10-I10</f>
        <v>15</v>
      </c>
      <c r="E10" s="346">
        <v>390</v>
      </c>
      <c r="F10" s="393"/>
      <c r="G10" s="80"/>
      <c r="H10" s="81">
        <f>I10-P10</f>
        <v>-137</v>
      </c>
      <c r="I10" s="303">
        <v>375</v>
      </c>
      <c r="J10" s="83">
        <f>I10/12*Summary!$H$30</f>
        <v>312.5</v>
      </c>
      <c r="K10" s="268">
        <v>397</v>
      </c>
      <c r="L10" s="83">
        <f>J10-K10</f>
        <v>-84.5</v>
      </c>
      <c r="M10" s="243"/>
      <c r="N10" s="243"/>
      <c r="O10" s="81">
        <f>P10-W10</f>
        <v>12</v>
      </c>
      <c r="P10" s="82">
        <f>W10+(W10*$P$33)</f>
        <v>512</v>
      </c>
      <c r="Q10" s="83">
        <f t="shared" si="0"/>
        <v>512</v>
      </c>
      <c r="R10" s="348">
        <v>356</v>
      </c>
      <c r="S10" s="83">
        <f>Q10-R10</f>
        <v>156</v>
      </c>
      <c r="T10" s="79"/>
      <c r="U10" s="79"/>
      <c r="V10" s="77">
        <f t="shared" si="1"/>
        <v>100</v>
      </c>
      <c r="W10" s="82">
        <v>500</v>
      </c>
      <c r="X10" s="83">
        <f>W10/12*10</f>
        <v>416.66666666666663</v>
      </c>
      <c r="Y10" s="83">
        <v>973.62</v>
      </c>
      <c r="Z10" s="83">
        <f>X10-Y10</f>
        <v>-556.95333333333338</v>
      </c>
      <c r="AA10" s="79"/>
      <c r="AB10" s="113">
        <v>400</v>
      </c>
      <c r="AC10" s="83">
        <f>AB10/12*10</f>
        <v>333.33333333333337</v>
      </c>
      <c r="AD10" s="114">
        <v>267.77</v>
      </c>
      <c r="AE10" s="79">
        <f>AC10-AD10</f>
        <v>65.563333333333389</v>
      </c>
      <c r="AF10" s="11"/>
      <c r="AG10" s="35"/>
    </row>
    <row r="11" spans="1:34" x14ac:dyDescent="0.3">
      <c r="A11" s="80" t="s">
        <v>127</v>
      </c>
      <c r="B11" s="80"/>
      <c r="C11" s="80"/>
      <c r="D11" s="81">
        <f>E11-I11</f>
        <v>0</v>
      </c>
      <c r="E11" s="259">
        <v>546</v>
      </c>
      <c r="F11" s="303"/>
      <c r="G11" s="80"/>
      <c r="H11" s="81">
        <f>I11-P11</f>
        <v>0</v>
      </c>
      <c r="I11" s="303">
        <v>546</v>
      </c>
      <c r="J11" s="83">
        <f>I11/12*Summary!$H$30</f>
        <v>455</v>
      </c>
      <c r="K11" s="268">
        <v>546</v>
      </c>
      <c r="L11" s="83">
        <f>J11-K11</f>
        <v>-91</v>
      </c>
      <c r="M11" s="243"/>
      <c r="N11" s="243"/>
      <c r="O11" s="81">
        <f>P11-W11</f>
        <v>546</v>
      </c>
      <c r="P11" s="82">
        <f>455*1.2</f>
        <v>546</v>
      </c>
      <c r="Q11" s="83">
        <f t="shared" si="0"/>
        <v>546</v>
      </c>
      <c r="R11" s="348">
        <v>546</v>
      </c>
      <c r="S11" s="83">
        <f>Q11-R11</f>
        <v>0</v>
      </c>
      <c r="T11" s="79"/>
      <c r="U11" s="79"/>
      <c r="V11" s="77">
        <f t="shared" si="1"/>
        <v>0</v>
      </c>
      <c r="W11" s="82">
        <v>0</v>
      </c>
      <c r="X11" s="83">
        <f>W11/12*10</f>
        <v>0</v>
      </c>
      <c r="Y11" s="83">
        <v>0</v>
      </c>
      <c r="Z11" s="83">
        <f>X11-Y11</f>
        <v>0</v>
      </c>
      <c r="AA11" s="79"/>
      <c r="AB11" s="78"/>
      <c r="AC11" s="79"/>
      <c r="AD11" s="79"/>
      <c r="AE11" s="79"/>
      <c r="AF11" s="11"/>
      <c r="AG11" s="35"/>
    </row>
    <row r="12" spans="1:34" x14ac:dyDescent="0.3">
      <c r="A12" s="80"/>
      <c r="B12" s="80"/>
      <c r="C12" s="80"/>
      <c r="D12" s="81"/>
      <c r="E12" s="243"/>
      <c r="F12" s="303"/>
      <c r="G12" s="80"/>
      <c r="H12" s="81"/>
      <c r="I12" s="303"/>
      <c r="J12" s="83"/>
      <c r="K12" s="83"/>
      <c r="L12" s="83"/>
      <c r="M12" s="243"/>
      <c r="N12" s="243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  <c r="AG12" s="35"/>
    </row>
    <row r="13" spans="1:34" s="129" customFormat="1" ht="15" thickBot="1" x14ac:dyDescent="0.35">
      <c r="A13" s="135" t="s">
        <v>139</v>
      </c>
      <c r="B13" s="76"/>
      <c r="C13" s="76"/>
      <c r="D13" s="85">
        <f>SUM(D7:D12)</f>
        <v>15</v>
      </c>
      <c r="E13" s="86">
        <f>SUM(E7:E12)</f>
        <v>1936</v>
      </c>
      <c r="F13" s="304"/>
      <c r="G13" s="147"/>
      <c r="H13" s="85">
        <f>SUM(H7:H12)</f>
        <v>12.120000000000005</v>
      </c>
      <c r="I13" s="331">
        <f>SUM(I7:I12)</f>
        <v>1921</v>
      </c>
      <c r="J13" s="88">
        <f t="shared" ref="J13:L13" si="2">SUM(J7:J12)</f>
        <v>1600.8333333333333</v>
      </c>
      <c r="K13" s="88">
        <f t="shared" si="2"/>
        <v>1569</v>
      </c>
      <c r="L13" s="88">
        <f t="shared" si="2"/>
        <v>31.833333333333258</v>
      </c>
      <c r="M13" s="100"/>
      <c r="N13" s="100"/>
      <c r="O13" s="85">
        <f>SUM(O7:O12)</f>
        <v>388.88</v>
      </c>
      <c r="P13" s="86">
        <f>SUM(P7:P12)</f>
        <v>1908.88</v>
      </c>
      <c r="Q13" s="88">
        <f t="shared" ref="Q13:S13" si="3">SUM(Q7:Q12)</f>
        <v>1908.88</v>
      </c>
      <c r="R13" s="349">
        <f t="shared" si="3"/>
        <v>1880</v>
      </c>
      <c r="S13" s="88">
        <f t="shared" si="3"/>
        <v>28.879999999999995</v>
      </c>
      <c r="T13" s="87"/>
      <c r="U13" s="87"/>
      <c r="V13" s="85">
        <f t="shared" ref="V13:Z13" si="4">SUM(V7:V12)</f>
        <v>315</v>
      </c>
      <c r="W13" s="86">
        <f t="shared" si="4"/>
        <v>1520</v>
      </c>
      <c r="X13" s="88">
        <f t="shared" si="4"/>
        <v>1266.6666666666665</v>
      </c>
      <c r="Y13" s="88">
        <f t="shared" si="4"/>
        <v>1569.62</v>
      </c>
      <c r="Z13" s="88">
        <f t="shared" si="4"/>
        <v>-302.95333333333338</v>
      </c>
      <c r="AA13" s="87"/>
      <c r="AB13" s="89">
        <f t="shared" ref="AB13:AE13" si="5">SUM(AB7:AB12)</f>
        <v>1205</v>
      </c>
      <c r="AC13" s="88">
        <f t="shared" si="5"/>
        <v>1004.1666666666667</v>
      </c>
      <c r="AD13" s="88">
        <f t="shared" si="5"/>
        <v>923.05</v>
      </c>
      <c r="AE13" s="88">
        <f t="shared" si="5"/>
        <v>81.116666666666788</v>
      </c>
      <c r="AF13" s="13"/>
      <c r="AG13" s="43"/>
    </row>
    <row r="14" spans="1:34" x14ac:dyDescent="0.3">
      <c r="D14" s="112"/>
      <c r="E14" s="32"/>
      <c r="F14" s="315"/>
      <c r="H14" s="112"/>
      <c r="J14" s="114"/>
      <c r="K14" s="114"/>
      <c r="L14" s="114"/>
      <c r="O14" s="112"/>
      <c r="P14" s="113"/>
      <c r="Q14" s="114"/>
      <c r="R14" s="357"/>
      <c r="S14" s="114"/>
      <c r="T14" s="114"/>
      <c r="U14" s="114"/>
      <c r="V14" s="112"/>
      <c r="W14" s="113"/>
      <c r="X14" s="114"/>
      <c r="Y14" s="114"/>
      <c r="Z14" s="114"/>
      <c r="AA14" s="114"/>
      <c r="AB14" s="113"/>
      <c r="AC14" s="114"/>
      <c r="AD14" s="114"/>
      <c r="AE14" s="114"/>
      <c r="AG14" s="35"/>
    </row>
    <row r="15" spans="1:34" x14ac:dyDescent="0.3">
      <c r="A15" s="47" t="s">
        <v>23</v>
      </c>
      <c r="D15" s="112"/>
      <c r="E15" s="32"/>
      <c r="F15" s="315"/>
      <c r="G15" s="47"/>
      <c r="H15" s="112"/>
      <c r="J15" s="114"/>
      <c r="K15" s="114"/>
      <c r="L15" s="114"/>
      <c r="O15" s="112"/>
      <c r="P15" s="113"/>
      <c r="Q15" s="114"/>
      <c r="R15" s="357"/>
      <c r="S15" s="114"/>
      <c r="T15" s="114"/>
      <c r="U15" s="114"/>
      <c r="V15" s="112"/>
      <c r="W15" s="113"/>
      <c r="X15" s="114"/>
      <c r="Y15" s="114"/>
      <c r="Z15" s="114"/>
      <c r="AA15" s="114"/>
      <c r="AB15" s="113"/>
      <c r="AC15" s="114"/>
      <c r="AD15" s="114"/>
      <c r="AE15" s="114"/>
      <c r="AG15" s="35"/>
    </row>
    <row r="16" spans="1:34" x14ac:dyDescent="0.3">
      <c r="A16" s="48" t="s">
        <v>22</v>
      </c>
      <c r="B16" s="80"/>
      <c r="C16" s="80"/>
      <c r="D16" s="81">
        <f t="shared" ref="D16:D21" si="6">E16-I16</f>
        <v>0</v>
      </c>
      <c r="E16" s="346">
        <v>250</v>
      </c>
      <c r="F16" s="393"/>
      <c r="G16" s="48"/>
      <c r="H16" s="81">
        <f t="shared" ref="H16:H21" si="7">I16-P16</f>
        <v>-262</v>
      </c>
      <c r="I16" s="303">
        <v>250</v>
      </c>
      <c r="J16" s="83">
        <f>I16/12*Summary!$H$30</f>
        <v>208.33333333333331</v>
      </c>
      <c r="K16" s="270">
        <v>676</v>
      </c>
      <c r="L16" s="83">
        <f t="shared" ref="L16:L21" si="8">J16-K16</f>
        <v>-467.66666666666669</v>
      </c>
      <c r="M16" s="243"/>
      <c r="N16" s="243"/>
      <c r="O16" s="81">
        <f t="shared" ref="O16:O21" si="9">P16-W16</f>
        <v>12</v>
      </c>
      <c r="P16" s="82">
        <f t="shared" ref="P16:P19" si="10">W16+(W16*$P$33)</f>
        <v>512</v>
      </c>
      <c r="Q16" s="83">
        <f t="shared" ref="Q16:Q21" si="11">P16</f>
        <v>512</v>
      </c>
      <c r="R16" s="357">
        <v>120</v>
      </c>
      <c r="S16" s="83">
        <f t="shared" ref="S16:S21" si="12">Q16-R16</f>
        <v>392</v>
      </c>
      <c r="T16" s="114"/>
      <c r="U16" s="114"/>
      <c r="V16" s="77">
        <f t="shared" ref="V16:V21" si="13">W16-AB16</f>
        <v>0</v>
      </c>
      <c r="W16" s="113">
        <v>500</v>
      </c>
      <c r="X16" s="83">
        <f t="shared" ref="X16:X21" si="14">W16/12*10</f>
        <v>416.66666666666663</v>
      </c>
      <c r="Y16" s="114">
        <v>0</v>
      </c>
      <c r="Z16" s="83">
        <f t="shared" ref="Z16:Z21" si="15">X16-Y16</f>
        <v>416.66666666666663</v>
      </c>
      <c r="AA16" s="114"/>
      <c r="AB16" s="113">
        <v>500</v>
      </c>
      <c r="AC16" s="83">
        <f t="shared" ref="AC16:AC21" si="16">AB16/12*10</f>
        <v>416.66666666666663</v>
      </c>
      <c r="AD16" s="114">
        <v>462.5</v>
      </c>
      <c r="AE16" s="79">
        <f t="shared" ref="AE16:AE21" si="17">AC16-AD16</f>
        <v>-45.833333333333371</v>
      </c>
      <c r="AG16" s="145"/>
    </row>
    <row r="17" spans="1:34" x14ac:dyDescent="0.3">
      <c r="A17" s="48" t="s">
        <v>16</v>
      </c>
      <c r="B17" s="80"/>
      <c r="C17" s="80"/>
      <c r="D17" s="81">
        <f t="shared" si="6"/>
        <v>0</v>
      </c>
      <c r="E17" s="346">
        <v>50</v>
      </c>
      <c r="F17" s="393"/>
      <c r="G17" s="48"/>
      <c r="H17" s="81">
        <f t="shared" si="7"/>
        <v>-1.2000000000000028</v>
      </c>
      <c r="I17" s="303">
        <v>50</v>
      </c>
      <c r="J17" s="83">
        <f>I17/12*Summary!$H$30</f>
        <v>41.666666666666671</v>
      </c>
      <c r="K17" s="270">
        <v>0</v>
      </c>
      <c r="L17" s="83">
        <f t="shared" si="8"/>
        <v>41.666666666666671</v>
      </c>
      <c r="M17" s="243"/>
      <c r="N17" s="243"/>
      <c r="O17" s="81">
        <f t="shared" si="9"/>
        <v>1.2000000000000028</v>
      </c>
      <c r="P17" s="82">
        <f t="shared" si="10"/>
        <v>51.2</v>
      </c>
      <c r="Q17" s="83">
        <f t="shared" si="11"/>
        <v>51.2</v>
      </c>
      <c r="R17" s="357">
        <v>0</v>
      </c>
      <c r="S17" s="83">
        <f t="shared" si="12"/>
        <v>51.2</v>
      </c>
      <c r="T17" s="114"/>
      <c r="U17" s="114"/>
      <c r="V17" s="77">
        <f t="shared" si="13"/>
        <v>0</v>
      </c>
      <c r="W17" s="113">
        <v>50</v>
      </c>
      <c r="X17" s="83">
        <f t="shared" si="14"/>
        <v>41.666666666666671</v>
      </c>
      <c r="Y17" s="114">
        <v>0</v>
      </c>
      <c r="Z17" s="83">
        <f t="shared" si="15"/>
        <v>41.666666666666671</v>
      </c>
      <c r="AA17" s="114"/>
      <c r="AB17" s="113">
        <v>50</v>
      </c>
      <c r="AC17" s="83">
        <f t="shared" si="16"/>
        <v>41.666666666666671</v>
      </c>
      <c r="AD17" s="114">
        <v>5</v>
      </c>
      <c r="AE17" s="79">
        <f t="shared" si="17"/>
        <v>36.666666666666671</v>
      </c>
      <c r="AG17" s="35"/>
    </row>
    <row r="18" spans="1:34" x14ac:dyDescent="0.3">
      <c r="A18" s="48" t="s">
        <v>12</v>
      </c>
      <c r="B18" s="80"/>
      <c r="C18" s="80"/>
      <c r="D18" s="81">
        <f t="shared" si="6"/>
        <v>0</v>
      </c>
      <c r="E18" s="346">
        <v>100</v>
      </c>
      <c r="F18" s="393"/>
      <c r="G18" s="48"/>
      <c r="H18" s="81">
        <f t="shared" si="7"/>
        <v>-2.4000000000000057</v>
      </c>
      <c r="I18" s="303">
        <v>100</v>
      </c>
      <c r="J18" s="83">
        <f>I18/12*Summary!$H$30</f>
        <v>83.333333333333343</v>
      </c>
      <c r="K18" s="270">
        <v>0</v>
      </c>
      <c r="L18" s="83">
        <f t="shared" si="8"/>
        <v>83.333333333333343</v>
      </c>
      <c r="M18" s="243"/>
      <c r="N18" s="243"/>
      <c r="O18" s="81">
        <f t="shared" si="9"/>
        <v>2.4000000000000057</v>
      </c>
      <c r="P18" s="82">
        <f t="shared" si="10"/>
        <v>102.4</v>
      </c>
      <c r="Q18" s="83">
        <f t="shared" si="11"/>
        <v>102.4</v>
      </c>
      <c r="R18" s="357">
        <v>282</v>
      </c>
      <c r="S18" s="83">
        <f t="shared" si="12"/>
        <v>-179.6</v>
      </c>
      <c r="T18" s="114"/>
      <c r="U18" s="114"/>
      <c r="V18" s="77">
        <f t="shared" si="13"/>
        <v>47</v>
      </c>
      <c r="W18" s="113">
        <v>100</v>
      </c>
      <c r="X18" s="83">
        <f t="shared" si="14"/>
        <v>83.333333333333343</v>
      </c>
      <c r="Y18" s="114">
        <v>90</v>
      </c>
      <c r="Z18" s="83">
        <f t="shared" si="15"/>
        <v>-6.6666666666666572</v>
      </c>
      <c r="AA18" s="114"/>
      <c r="AB18" s="113">
        <v>53</v>
      </c>
      <c r="AC18" s="83">
        <f t="shared" si="16"/>
        <v>44.166666666666671</v>
      </c>
      <c r="AD18" s="114">
        <v>90</v>
      </c>
      <c r="AE18" s="79">
        <f t="shared" si="17"/>
        <v>-45.833333333333329</v>
      </c>
      <c r="AG18" s="35"/>
    </row>
    <row r="19" spans="1:34" x14ac:dyDescent="0.3">
      <c r="A19" s="48" t="s">
        <v>41</v>
      </c>
      <c r="B19" s="80"/>
      <c r="C19" s="80"/>
      <c r="D19" s="81">
        <f t="shared" si="6"/>
        <v>0</v>
      </c>
      <c r="E19" s="346">
        <v>51</v>
      </c>
      <c r="F19" s="393"/>
      <c r="G19" s="48"/>
      <c r="H19" s="81">
        <f t="shared" si="7"/>
        <v>-0.20000000000000284</v>
      </c>
      <c r="I19" s="303">
        <v>51</v>
      </c>
      <c r="J19" s="83">
        <f>I19/12*Summary!$H$30</f>
        <v>42.5</v>
      </c>
      <c r="K19" s="270">
        <v>0</v>
      </c>
      <c r="L19" s="83">
        <f t="shared" si="8"/>
        <v>42.5</v>
      </c>
      <c r="M19" s="243"/>
      <c r="N19" s="243"/>
      <c r="O19" s="81">
        <f t="shared" si="9"/>
        <v>1.2000000000000028</v>
      </c>
      <c r="P19" s="82">
        <f t="shared" si="10"/>
        <v>51.2</v>
      </c>
      <c r="Q19" s="83">
        <f t="shared" si="11"/>
        <v>51.2</v>
      </c>
      <c r="R19" s="357">
        <v>50</v>
      </c>
      <c r="S19" s="83">
        <f t="shared" si="12"/>
        <v>1.2000000000000028</v>
      </c>
      <c r="T19" s="114"/>
      <c r="U19" s="114"/>
      <c r="V19" s="77">
        <f t="shared" si="13"/>
        <v>0</v>
      </c>
      <c r="W19" s="113">
        <v>50</v>
      </c>
      <c r="X19" s="83">
        <f t="shared" si="14"/>
        <v>41.666666666666671</v>
      </c>
      <c r="Y19" s="114">
        <v>30</v>
      </c>
      <c r="Z19" s="83">
        <f t="shared" si="15"/>
        <v>11.666666666666671</v>
      </c>
      <c r="AA19" s="114"/>
      <c r="AB19" s="113">
        <v>50</v>
      </c>
      <c r="AC19" s="83">
        <f t="shared" si="16"/>
        <v>41.666666666666671</v>
      </c>
      <c r="AD19" s="114">
        <v>135</v>
      </c>
      <c r="AE19" s="79">
        <f t="shared" si="17"/>
        <v>-93.333333333333329</v>
      </c>
      <c r="AG19" s="35"/>
    </row>
    <row r="20" spans="1:34" x14ac:dyDescent="0.3">
      <c r="A20" s="48" t="s">
        <v>107</v>
      </c>
      <c r="D20" s="81">
        <f t="shared" si="6"/>
        <v>0</v>
      </c>
      <c r="E20" s="258">
        <v>0</v>
      </c>
      <c r="F20" s="315"/>
      <c r="G20" s="48"/>
      <c r="H20" s="81">
        <f t="shared" si="7"/>
        <v>0</v>
      </c>
      <c r="I20" s="315">
        <v>0</v>
      </c>
      <c r="J20" s="83">
        <f>I20/12*Summary!$H$30</f>
        <v>0</v>
      </c>
      <c r="K20" s="270">
        <v>0</v>
      </c>
      <c r="L20" s="83">
        <f t="shared" si="8"/>
        <v>0</v>
      </c>
      <c r="O20" s="81">
        <f t="shared" si="9"/>
        <v>-1000</v>
      </c>
      <c r="P20" s="113">
        <v>0</v>
      </c>
      <c r="Q20" s="83">
        <f t="shared" si="11"/>
        <v>0</v>
      </c>
      <c r="R20" s="357">
        <v>0</v>
      </c>
      <c r="S20" s="83">
        <f t="shared" si="12"/>
        <v>0</v>
      </c>
      <c r="T20" s="114"/>
      <c r="U20" s="114"/>
      <c r="V20" s="77">
        <f t="shared" si="13"/>
        <v>1000</v>
      </c>
      <c r="W20" s="113">
        <v>1000</v>
      </c>
      <c r="X20" s="83">
        <f t="shared" si="14"/>
        <v>833.33333333333326</v>
      </c>
      <c r="Y20" s="114">
        <v>0</v>
      </c>
      <c r="Z20" s="83">
        <f t="shared" si="15"/>
        <v>833.33333333333326</v>
      </c>
      <c r="AA20" s="114"/>
      <c r="AB20" s="113">
        <v>0</v>
      </c>
      <c r="AC20" s="83">
        <f t="shared" si="16"/>
        <v>0</v>
      </c>
      <c r="AD20" s="114">
        <v>3555.8</v>
      </c>
      <c r="AE20" s="79">
        <f t="shared" si="17"/>
        <v>-3555.8</v>
      </c>
      <c r="AG20" s="46"/>
    </row>
    <row r="21" spans="1:34" x14ac:dyDescent="0.3">
      <c r="A21" s="48" t="s">
        <v>128</v>
      </c>
      <c r="D21" s="81">
        <f t="shared" si="6"/>
        <v>0</v>
      </c>
      <c r="E21" s="258">
        <v>0</v>
      </c>
      <c r="F21" s="315"/>
      <c r="G21" s="48"/>
      <c r="H21" s="81">
        <f t="shared" si="7"/>
        <v>-171.6825396825397</v>
      </c>
      <c r="I21" s="315">
        <v>0</v>
      </c>
      <c r="J21" s="83">
        <f>I21/12*Summary!$H$30</f>
        <v>0</v>
      </c>
      <c r="K21" s="270">
        <v>0</v>
      </c>
      <c r="L21" s="83">
        <f t="shared" si="8"/>
        <v>0</v>
      </c>
      <c r="O21" s="81">
        <f t="shared" si="9"/>
        <v>171.6825396825397</v>
      </c>
      <c r="P21" s="113">
        <f>Reserves!X13</f>
        <v>171.6825396825397</v>
      </c>
      <c r="Q21" s="83">
        <f t="shared" si="11"/>
        <v>171.6825396825397</v>
      </c>
      <c r="R21" s="357">
        <v>262</v>
      </c>
      <c r="S21" s="83">
        <f t="shared" si="12"/>
        <v>-90.317460317460302</v>
      </c>
      <c r="T21" s="114"/>
      <c r="U21" s="114"/>
      <c r="V21" s="77">
        <f t="shared" si="13"/>
        <v>0</v>
      </c>
      <c r="W21" s="113">
        <v>0</v>
      </c>
      <c r="X21" s="83">
        <f t="shared" si="14"/>
        <v>0</v>
      </c>
      <c r="Y21" s="114">
        <v>0</v>
      </c>
      <c r="Z21" s="83">
        <f t="shared" si="15"/>
        <v>0</v>
      </c>
      <c r="AA21" s="114"/>
      <c r="AB21" s="113">
        <v>0</v>
      </c>
      <c r="AC21" s="83">
        <f t="shared" si="16"/>
        <v>0</v>
      </c>
      <c r="AD21" s="114">
        <v>0</v>
      </c>
      <c r="AE21" s="79">
        <f t="shared" si="17"/>
        <v>0</v>
      </c>
      <c r="AG21" s="35"/>
    </row>
    <row r="22" spans="1:34" x14ac:dyDescent="0.3">
      <c r="A22" s="48"/>
      <c r="D22" s="112"/>
      <c r="E22" s="32"/>
      <c r="F22" s="315"/>
      <c r="G22" s="48"/>
      <c r="H22" s="112"/>
      <c r="J22" s="114"/>
      <c r="K22" s="114"/>
      <c r="L22" s="114"/>
      <c r="O22" s="112"/>
      <c r="P22" s="113"/>
      <c r="Q22" s="114"/>
      <c r="R22" s="357"/>
      <c r="S22" s="114"/>
      <c r="T22" s="114"/>
      <c r="U22" s="114"/>
      <c r="V22" s="112"/>
      <c r="W22" s="113"/>
      <c r="X22" s="114"/>
      <c r="Y22" s="114"/>
      <c r="Z22" s="114"/>
      <c r="AA22" s="114"/>
      <c r="AB22" s="113"/>
      <c r="AC22" s="83"/>
      <c r="AD22" s="114"/>
      <c r="AE22" s="79"/>
      <c r="AG22" s="35"/>
    </row>
    <row r="23" spans="1:34" s="129" customFormat="1" ht="15" thickBot="1" x14ac:dyDescent="0.35">
      <c r="A23" s="135" t="s">
        <v>140</v>
      </c>
      <c r="D23" s="136">
        <f>SUM(D15:D22)</f>
        <v>0</v>
      </c>
      <c r="E23" s="137">
        <f>SUM(E15:E22)</f>
        <v>451</v>
      </c>
      <c r="F23" s="421"/>
      <c r="G23" s="147"/>
      <c r="H23" s="136">
        <f>SUM(H15:H22)</f>
        <v>-437.48253968253971</v>
      </c>
      <c r="I23" s="334">
        <f>SUM(I15:I22)</f>
        <v>451</v>
      </c>
      <c r="J23" s="135">
        <f>SUM(J15:J22)</f>
        <v>375.83333333333337</v>
      </c>
      <c r="K23" s="135">
        <f>SUM(K15:K22)</f>
        <v>676</v>
      </c>
      <c r="L23" s="135">
        <f>SUM(L15:L22)</f>
        <v>-300.16666666666663</v>
      </c>
      <c r="M23" s="252"/>
      <c r="N23" s="252"/>
      <c r="O23" s="136">
        <f>SUM(O15:O22)</f>
        <v>-811.51746031746029</v>
      </c>
      <c r="P23" s="137">
        <f>SUM(P15:P22)</f>
        <v>888.48253968253971</v>
      </c>
      <c r="Q23" s="135">
        <f>SUM(Q15:Q22)</f>
        <v>888.48253968253971</v>
      </c>
      <c r="R23" s="358">
        <f>SUM(R15:R22)</f>
        <v>714</v>
      </c>
      <c r="S23" s="135">
        <f>SUM(S15:S22)</f>
        <v>174.48253968253971</v>
      </c>
      <c r="T23" s="138"/>
      <c r="U23" s="138"/>
      <c r="V23" s="136">
        <f>SUM(V15:V22)</f>
        <v>1047</v>
      </c>
      <c r="W23" s="137">
        <f>SUM(W15:W22)</f>
        <v>1700</v>
      </c>
      <c r="X23" s="135">
        <f>SUM(X15:X22)</f>
        <v>1416.6666666666665</v>
      </c>
      <c r="Y23" s="135">
        <f>SUM(Y15:Y22)</f>
        <v>120</v>
      </c>
      <c r="Z23" s="135">
        <f>SUM(Z15:Z22)</f>
        <v>1296.6666666666665</v>
      </c>
      <c r="AA23" s="138"/>
      <c r="AB23" s="137">
        <f>SUM(AB15:AB22)</f>
        <v>653</v>
      </c>
      <c r="AC23" s="135">
        <f>SUM(AC15:AC22)</f>
        <v>544.16666666666663</v>
      </c>
      <c r="AD23" s="135">
        <f>SUM(AD15:AD22)</f>
        <v>4248.3</v>
      </c>
      <c r="AE23" s="135">
        <f>SUM(AE15:AE22)</f>
        <v>-3704.1333333333337</v>
      </c>
      <c r="AG23" s="43"/>
    </row>
    <row r="24" spans="1:34" x14ac:dyDescent="0.3">
      <c r="A24" s="33"/>
      <c r="D24" s="112"/>
      <c r="E24" s="32"/>
      <c r="F24" s="315"/>
      <c r="G24" s="33"/>
      <c r="H24" s="112"/>
      <c r="J24" s="114"/>
      <c r="K24" s="114"/>
      <c r="L24" s="114"/>
      <c r="O24" s="112"/>
      <c r="P24" s="113"/>
      <c r="Q24" s="114"/>
      <c r="R24" s="357"/>
      <c r="S24" s="114"/>
      <c r="T24" s="114"/>
      <c r="U24" s="114"/>
      <c r="V24" s="112"/>
      <c r="W24" s="113"/>
      <c r="X24" s="114"/>
      <c r="Y24" s="114"/>
      <c r="Z24" s="114"/>
      <c r="AA24" s="114"/>
      <c r="AB24" s="121"/>
      <c r="AC24" s="122"/>
      <c r="AD24" s="122"/>
      <c r="AE24" s="114"/>
      <c r="AG24" s="35"/>
    </row>
    <row r="25" spans="1:34" x14ac:dyDescent="0.3">
      <c r="A25" s="48" t="s">
        <v>87</v>
      </c>
      <c r="D25" s="81">
        <f>E25-I25</f>
        <v>0</v>
      </c>
      <c r="E25" s="259">
        <f>I25</f>
        <v>670</v>
      </c>
      <c r="F25" s="303"/>
      <c r="G25" s="48"/>
      <c r="H25" s="81">
        <f>I25-P25</f>
        <v>0</v>
      </c>
      <c r="I25" s="276">
        <f>P25</f>
        <v>670</v>
      </c>
      <c r="J25" s="83">
        <f>I25/12*Summary!$H$30</f>
        <v>558.33333333333337</v>
      </c>
      <c r="K25" s="270">
        <v>558</v>
      </c>
      <c r="L25" s="83">
        <f>J25-K25</f>
        <v>0.33333333333337123</v>
      </c>
      <c r="M25" s="240"/>
      <c r="N25" s="240"/>
      <c r="O25" s="81">
        <f>P25-W25</f>
        <v>0</v>
      </c>
      <c r="P25" s="113">
        <v>670</v>
      </c>
      <c r="Q25" s="83">
        <f>P25</f>
        <v>670</v>
      </c>
      <c r="R25" s="357">
        <v>670</v>
      </c>
      <c r="S25" s="83">
        <f>Q25-R25</f>
        <v>0</v>
      </c>
      <c r="T25" s="114"/>
      <c r="U25" s="114"/>
      <c r="V25" s="77">
        <f t="shared" ref="V25" si="18">W25-AB25</f>
        <v>0</v>
      </c>
      <c r="W25" s="113">
        <v>670</v>
      </c>
      <c r="X25" s="83">
        <f>W25/12*10</f>
        <v>558.33333333333337</v>
      </c>
      <c r="Y25" s="114">
        <v>0</v>
      </c>
      <c r="Z25" s="83">
        <f>X25-Y25</f>
        <v>558.33333333333337</v>
      </c>
      <c r="AA25" s="114"/>
      <c r="AB25" s="113">
        <v>670</v>
      </c>
      <c r="AC25" s="83">
        <f>AB25/12*10</f>
        <v>558.33333333333337</v>
      </c>
      <c r="AD25" s="114">
        <v>0</v>
      </c>
      <c r="AE25" s="79">
        <f>AC25-AD25</f>
        <v>558.33333333333337</v>
      </c>
      <c r="AG25" s="35"/>
    </row>
    <row r="26" spans="1:34" x14ac:dyDescent="0.3">
      <c r="A26" s="48"/>
      <c r="D26" s="112"/>
      <c r="E26" s="32"/>
      <c r="F26" s="315"/>
      <c r="G26" s="48"/>
      <c r="H26" s="112"/>
      <c r="J26" s="114"/>
      <c r="K26" s="114"/>
      <c r="L26" s="114"/>
      <c r="O26" s="112"/>
      <c r="P26" s="113"/>
      <c r="Q26" s="114"/>
      <c r="R26" s="357"/>
      <c r="S26" s="114"/>
      <c r="T26" s="114"/>
      <c r="U26" s="114"/>
      <c r="V26" s="112"/>
      <c r="W26" s="113"/>
      <c r="X26" s="114"/>
      <c r="Y26" s="114"/>
      <c r="Z26" s="114"/>
      <c r="AA26" s="114"/>
      <c r="AB26" s="113"/>
      <c r="AC26" s="83"/>
      <c r="AD26" s="114"/>
      <c r="AE26" s="79"/>
      <c r="AG26" s="35"/>
    </row>
    <row r="27" spans="1:34" s="129" customFormat="1" ht="15" thickBot="1" x14ac:dyDescent="0.35">
      <c r="A27" s="135" t="s">
        <v>138</v>
      </c>
      <c r="D27" s="136">
        <f>D13+D23+D25</f>
        <v>15</v>
      </c>
      <c r="E27" s="137">
        <f>E13+E23+E25</f>
        <v>3057</v>
      </c>
      <c r="F27" s="421"/>
      <c r="G27" s="147"/>
      <c r="H27" s="136">
        <f>H13+H23+H25</f>
        <v>-425.3625396825397</v>
      </c>
      <c r="I27" s="334">
        <f>I13+I23+I25</f>
        <v>3042</v>
      </c>
      <c r="J27" s="135">
        <f>J13+J23+J25</f>
        <v>2535</v>
      </c>
      <c r="K27" s="135">
        <f>K13+K23+K25</f>
        <v>2803</v>
      </c>
      <c r="L27" s="135">
        <f>L13+L23+L25</f>
        <v>-268</v>
      </c>
      <c r="M27" s="252"/>
      <c r="N27" s="252"/>
      <c r="O27" s="136">
        <f>O13+O23+O25</f>
        <v>-422.6374603174603</v>
      </c>
      <c r="P27" s="137">
        <f>P13+P23+P25</f>
        <v>3467.36253968254</v>
      </c>
      <c r="Q27" s="135">
        <f>Q13+Q23+Q25</f>
        <v>3467.36253968254</v>
      </c>
      <c r="R27" s="358">
        <f>R13+R23+R25</f>
        <v>3264</v>
      </c>
      <c r="S27" s="135">
        <f>S13+S23+S25</f>
        <v>203.3625396825397</v>
      </c>
      <c r="T27" s="138"/>
      <c r="U27" s="138"/>
      <c r="V27" s="136">
        <f>V13+V23+V25</f>
        <v>1362</v>
      </c>
      <c r="W27" s="137">
        <f>W13+W23+W25</f>
        <v>3890</v>
      </c>
      <c r="X27" s="135">
        <f>X13+X23+X25</f>
        <v>3241.6666666666665</v>
      </c>
      <c r="Y27" s="135">
        <f>Y13+Y23+Y25</f>
        <v>1689.62</v>
      </c>
      <c r="Z27" s="135">
        <f>Z13+Z23+Z25</f>
        <v>1552.0466666666666</v>
      </c>
      <c r="AA27" s="138"/>
      <c r="AB27" s="137">
        <f>AB13+AB23+AB25</f>
        <v>2528</v>
      </c>
      <c r="AC27" s="135">
        <f>AC13+AC23+AC25</f>
        <v>2106.666666666667</v>
      </c>
      <c r="AD27" s="135">
        <f>AD13+AD23+AD25</f>
        <v>5171.3500000000004</v>
      </c>
      <c r="AE27" s="135">
        <f>AE13+AE23+AE25</f>
        <v>-3064.6833333333334</v>
      </c>
      <c r="AG27" s="130" t="s">
        <v>228</v>
      </c>
    </row>
    <row r="28" spans="1:34" x14ac:dyDescent="0.3">
      <c r="D28" s="112"/>
      <c r="E28" s="32"/>
      <c r="F28" s="315"/>
      <c r="H28" s="112"/>
      <c r="J28" s="114"/>
      <c r="K28" s="114"/>
      <c r="L28" s="114"/>
      <c r="O28" s="112"/>
      <c r="P28" s="113"/>
      <c r="Q28" s="114"/>
      <c r="R28" s="357"/>
      <c r="S28" s="114"/>
      <c r="T28" s="114"/>
      <c r="U28" s="114"/>
      <c r="V28" s="112"/>
      <c r="W28" s="113"/>
      <c r="X28" s="114"/>
      <c r="Y28" s="114"/>
      <c r="Z28" s="114"/>
      <c r="AA28" s="114"/>
      <c r="AB28" s="121"/>
      <c r="AC28" s="122"/>
      <c r="AD28" s="122"/>
      <c r="AE28" s="114"/>
    </row>
    <row r="29" spans="1:34" ht="15.6" x14ac:dyDescent="0.3">
      <c r="A29" s="33" t="s">
        <v>97</v>
      </c>
      <c r="D29" s="81">
        <f>E29-I29</f>
        <v>4280</v>
      </c>
      <c r="E29" s="243">
        <f>Reserves!E13</f>
        <v>7000</v>
      </c>
      <c r="F29" s="303"/>
      <c r="G29" s="33"/>
      <c r="H29" s="81">
        <f>I29-P29</f>
        <v>160</v>
      </c>
      <c r="I29" s="276">
        <v>2720</v>
      </c>
      <c r="J29" s="83">
        <f>I29/12*Summary!$H$30</f>
        <v>2266.6666666666665</v>
      </c>
      <c r="K29" s="371">
        <f>J29</f>
        <v>2266.6666666666665</v>
      </c>
      <c r="L29" s="83">
        <f>J29-K29</f>
        <v>0</v>
      </c>
      <c r="M29" s="240"/>
      <c r="N29" s="240"/>
      <c r="O29" s="81">
        <f>P29-W29</f>
        <v>-640</v>
      </c>
      <c r="P29" s="113">
        <v>2560</v>
      </c>
      <c r="Q29" s="83">
        <f>P29</f>
        <v>2560</v>
      </c>
      <c r="R29" s="357">
        <v>2700</v>
      </c>
      <c r="S29" s="83">
        <f>Q29-R29</f>
        <v>-140</v>
      </c>
      <c r="T29" s="114"/>
      <c r="U29" s="114"/>
      <c r="V29" s="77">
        <f t="shared" ref="V29" si="19">W29-AB29</f>
        <v>0</v>
      </c>
      <c r="W29" s="113">
        <v>3200</v>
      </c>
      <c r="X29" s="83">
        <f>W29/12*10</f>
        <v>2666.666666666667</v>
      </c>
      <c r="Y29" s="114">
        <v>0</v>
      </c>
      <c r="Z29" s="83">
        <f>X29-Y29</f>
        <v>2666.666666666667</v>
      </c>
      <c r="AA29" s="114"/>
      <c r="AB29" s="113">
        <v>3200</v>
      </c>
      <c r="AC29" s="83">
        <f>AB29/12*10</f>
        <v>2666.666666666667</v>
      </c>
      <c r="AD29" s="114">
        <v>2025</v>
      </c>
      <c r="AE29" s="79">
        <f>AC29-AD29</f>
        <v>641.66666666666697</v>
      </c>
    </row>
    <row r="30" spans="1:34" s="129" customFormat="1" x14ac:dyDescent="0.3">
      <c r="A30" s="42"/>
      <c r="D30" s="179"/>
      <c r="E30" s="246"/>
      <c r="F30" s="319"/>
      <c r="G30" s="42"/>
      <c r="I30" s="319"/>
      <c r="J30" s="138"/>
      <c r="K30" s="138"/>
      <c r="L30" s="138"/>
      <c r="M30" s="246"/>
      <c r="N30" s="246"/>
      <c r="O30" s="179"/>
      <c r="P30" s="180"/>
      <c r="Q30" s="138"/>
      <c r="R30" s="138"/>
      <c r="S30" s="138"/>
      <c r="T30" s="138"/>
      <c r="U30" s="138"/>
      <c r="V30" s="179"/>
      <c r="W30" s="180"/>
      <c r="X30" s="138"/>
      <c r="Y30" s="138"/>
      <c r="Z30" s="138"/>
      <c r="AA30" s="138"/>
      <c r="AB30" s="180"/>
      <c r="AC30" s="105"/>
      <c r="AD30" s="138"/>
      <c r="AE30" s="87"/>
    </row>
    <row r="31" spans="1:34" s="129" customFormat="1" ht="15" thickBot="1" x14ac:dyDescent="0.35">
      <c r="A31" s="135" t="s">
        <v>1</v>
      </c>
      <c r="D31" s="125">
        <f t="shared" ref="D31" si="20">SUM(D27:D30)</f>
        <v>4295</v>
      </c>
      <c r="E31" s="126">
        <f t="shared" ref="E31" si="21">SUM(E27:E30)</f>
        <v>10057</v>
      </c>
      <c r="F31" s="422"/>
      <c r="G31" s="147"/>
      <c r="H31" s="125">
        <f t="shared" ref="H31" si="22">SUM(H27:H30)</f>
        <v>-265.3625396825397</v>
      </c>
      <c r="I31" s="335">
        <f t="shared" ref="I31:L31" si="23">SUM(I27:I30)</f>
        <v>5762</v>
      </c>
      <c r="J31" s="127">
        <f t="shared" si="23"/>
        <v>4801.6666666666661</v>
      </c>
      <c r="K31" s="127">
        <f t="shared" si="23"/>
        <v>5069.6666666666661</v>
      </c>
      <c r="L31" s="127">
        <f t="shared" si="23"/>
        <v>-268</v>
      </c>
      <c r="M31" s="253"/>
      <c r="N31" s="253"/>
      <c r="O31" s="125">
        <f>SUM(O27:O30)</f>
        <v>-1062.6374603174604</v>
      </c>
      <c r="P31" s="126">
        <f>SUM(P27:P30)</f>
        <v>6027.36253968254</v>
      </c>
      <c r="Q31" s="127">
        <f t="shared" ref="Q31:S31" si="24">SUM(Q27:Q30)</f>
        <v>6027.36253968254</v>
      </c>
      <c r="R31" s="127">
        <f t="shared" si="24"/>
        <v>5964</v>
      </c>
      <c r="S31" s="127">
        <f t="shared" si="24"/>
        <v>63.362539682539705</v>
      </c>
      <c r="T31" s="138"/>
      <c r="U31" s="138"/>
      <c r="V31" s="125">
        <f t="shared" ref="V31:Z31" si="25">SUM(V27:V30)</f>
        <v>1362</v>
      </c>
      <c r="W31" s="126">
        <f t="shared" si="25"/>
        <v>7090</v>
      </c>
      <c r="X31" s="127">
        <f t="shared" si="25"/>
        <v>5908.3333333333339</v>
      </c>
      <c r="Y31" s="127">
        <f t="shared" si="25"/>
        <v>1689.62</v>
      </c>
      <c r="Z31" s="127">
        <f t="shared" si="25"/>
        <v>4218.7133333333331</v>
      </c>
      <c r="AA31" s="138"/>
      <c r="AB31" s="126">
        <f>SUM(AB27:AB30)</f>
        <v>5728</v>
      </c>
      <c r="AC31" s="127">
        <f t="shared" ref="AC31:AE31" si="26">SUM(AC27:AC30)</f>
        <v>4773.3333333333339</v>
      </c>
      <c r="AD31" s="127">
        <f t="shared" si="26"/>
        <v>7196.35</v>
      </c>
      <c r="AE31" s="127">
        <f t="shared" si="26"/>
        <v>-2423.0166666666664</v>
      </c>
      <c r="AG31" s="155">
        <f>SUM(B31:AF31)</f>
        <v>82014.754285714283</v>
      </c>
      <c r="AH31" s="156" t="s">
        <v>143</v>
      </c>
    </row>
    <row r="33" spans="1:18" x14ac:dyDescent="0.3">
      <c r="A33" s="233" t="str">
        <f>"* "&amp;Summary!$A$26</f>
        <v>* Inflation Factor, CPI to 16th September, 2020</v>
      </c>
      <c r="B33" s="233"/>
      <c r="C33" s="233"/>
      <c r="D33" s="233"/>
      <c r="E33" s="353">
        <f>Summary!$E$26</f>
        <v>5.0000000000000001E-3</v>
      </c>
      <c r="F33" s="201"/>
      <c r="G33" s="233"/>
      <c r="H33" s="436" t="str">
        <f>Summary!$H$26</f>
        <v>October, 2019</v>
      </c>
      <c r="I33" s="353">
        <f>Summary!$I$26</f>
        <v>1.7000000000000001E-2</v>
      </c>
      <c r="J33" s="311"/>
      <c r="K33" s="311"/>
      <c r="L33" s="311"/>
      <c r="M33" s="241"/>
      <c r="N33" s="241"/>
      <c r="O33" s="436" t="str">
        <f>Summary!$O$26</f>
        <v>October, 2018</v>
      </c>
      <c r="P33" s="353">
        <f>Summary!$P$26</f>
        <v>2.4E-2</v>
      </c>
      <c r="Q33" s="241"/>
    </row>
    <row r="34" spans="1:18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30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40.5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30" customHeigh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30" customHeigh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30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</sheetData>
  <mergeCells count="17">
    <mergeCell ref="H4:H5"/>
    <mergeCell ref="D3:E3"/>
    <mergeCell ref="Q5:S5"/>
    <mergeCell ref="O3:S3"/>
    <mergeCell ref="D4:D5"/>
    <mergeCell ref="E4:E5"/>
    <mergeCell ref="H3:L3"/>
    <mergeCell ref="I4:J4"/>
    <mergeCell ref="AB3:AE3"/>
    <mergeCell ref="O4:O5"/>
    <mergeCell ref="V4:V5"/>
    <mergeCell ref="W4:X4"/>
    <mergeCell ref="AB4:AC4"/>
    <mergeCell ref="X5:Z5"/>
    <mergeCell ref="AC5:AE5"/>
    <mergeCell ref="P4:Q4"/>
    <mergeCell ref="V3:Z3"/>
  </mergeCells>
  <pageMargins left="0.7" right="0.7" top="0.75" bottom="0.75" header="0.3" footer="0.3"/>
  <pageSetup paperSize="8" scale="58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K58"/>
  <sheetViews>
    <sheetView showGridLines="0" zoomScale="80" zoomScaleNormal="80" workbookViewId="0">
      <pane ySplit="5" topLeftCell="A21" activePane="bottomLeft" state="frozen"/>
      <selection activeCell="H32" sqref="H32:I32"/>
      <selection pane="bottomLeft" activeCell="A35" sqref="A35:R58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4414062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7" ht="21" x14ac:dyDescent="0.3">
      <c r="A1" s="54" t="s">
        <v>59</v>
      </c>
      <c r="B1" s="51"/>
      <c r="C1" s="51"/>
      <c r="D1" s="54" t="s">
        <v>172</v>
      </c>
      <c r="E1" s="233"/>
      <c r="F1" s="201"/>
      <c r="H1" s="181">
        <v>8</v>
      </c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7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7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7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7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7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7" ht="15.6" x14ac:dyDescent="0.3">
      <c r="A7" s="55" t="s">
        <v>20</v>
      </c>
      <c r="B7" s="55"/>
      <c r="C7" s="55"/>
      <c r="D7" s="55"/>
      <c r="E7" s="55"/>
      <c r="F7" s="423"/>
      <c r="G7" s="55"/>
      <c r="H7" s="55"/>
      <c r="I7" s="316"/>
      <c r="J7" s="316"/>
      <c r="K7" s="55"/>
      <c r="L7" s="316"/>
      <c r="M7" s="244"/>
      <c r="N7" s="244"/>
      <c r="O7" s="59"/>
      <c r="P7" s="60"/>
      <c r="Q7" s="244"/>
      <c r="S7" s="61"/>
      <c r="T7" s="61"/>
      <c r="U7" s="61"/>
      <c r="V7" s="59"/>
      <c r="W7" s="60"/>
      <c r="X7" s="61"/>
      <c r="Y7" s="61"/>
      <c r="Z7" s="61"/>
      <c r="AA7" s="61"/>
      <c r="AB7" s="60"/>
      <c r="AC7" s="61"/>
      <c r="AD7" s="61"/>
      <c r="AE7" s="61"/>
      <c r="AF7" s="27"/>
      <c r="AG7" s="27"/>
    </row>
    <row r="8" spans="1:37" ht="15.6" x14ac:dyDescent="0.3">
      <c r="A8" s="56" t="s">
        <v>21</v>
      </c>
      <c r="B8" s="56"/>
      <c r="C8" s="56"/>
      <c r="D8" s="57">
        <f>E8-I8</f>
        <v>0</v>
      </c>
      <c r="E8" s="267">
        <v>645</v>
      </c>
      <c r="F8" s="317"/>
      <c r="G8" s="56"/>
      <c r="H8" s="57">
        <f>I8-P8</f>
        <v>112</v>
      </c>
      <c r="I8" s="317">
        <v>645</v>
      </c>
      <c r="J8" s="58">
        <f>I8/12*Summary!$H$30</f>
        <v>537.5</v>
      </c>
      <c r="K8" s="271">
        <v>430</v>
      </c>
      <c r="L8" s="58">
        <f>J8-K8</f>
        <v>107.5</v>
      </c>
      <c r="M8" s="245"/>
      <c r="N8" s="245"/>
      <c r="O8" s="57">
        <f>P8-W8</f>
        <v>13</v>
      </c>
      <c r="P8" s="34">
        <v>533</v>
      </c>
      <c r="Q8" s="58">
        <f>P8</f>
        <v>533</v>
      </c>
      <c r="R8" s="364">
        <v>684</v>
      </c>
      <c r="S8" s="364">
        <f>Q8-R8</f>
        <v>-151</v>
      </c>
      <c r="T8" s="61"/>
      <c r="U8" s="61"/>
      <c r="V8" s="59">
        <f>W8-AB8</f>
        <v>105</v>
      </c>
      <c r="W8" s="62">
        <v>520</v>
      </c>
      <c r="X8" s="58">
        <f>W8/12*10</f>
        <v>433.33333333333337</v>
      </c>
      <c r="Y8" s="58">
        <v>336</v>
      </c>
      <c r="Z8" s="58">
        <f>X8-Y8</f>
        <v>97.333333333333371</v>
      </c>
      <c r="AA8" s="61"/>
      <c r="AB8" s="35">
        <v>415</v>
      </c>
      <c r="AC8" s="58">
        <f>AB8/12*10</f>
        <v>345.83333333333337</v>
      </c>
      <c r="AD8" s="35">
        <v>372.79</v>
      </c>
      <c r="AE8" s="61">
        <f>AC8-AD8</f>
        <v>-26.956666666666649</v>
      </c>
      <c r="AF8" s="28"/>
      <c r="AG8" s="233"/>
      <c r="AH8" s="233"/>
      <c r="AK8" s="17"/>
    </row>
    <row r="9" spans="1:37" ht="15.6" x14ac:dyDescent="0.3">
      <c r="A9" s="367" t="s">
        <v>233</v>
      </c>
      <c r="B9" s="367" t="s">
        <v>228</v>
      </c>
      <c r="C9" s="367"/>
      <c r="D9" s="368">
        <f>E9-I9</f>
        <v>0</v>
      </c>
      <c r="E9" s="369">
        <v>0</v>
      </c>
      <c r="F9" s="393"/>
      <c r="G9" s="380"/>
      <c r="H9" s="368">
        <f>I9-P9</f>
        <v>0</v>
      </c>
      <c r="I9" s="370">
        <v>0</v>
      </c>
      <c r="J9" s="371">
        <f>I9/12*Summary!$H$30</f>
        <v>0</v>
      </c>
      <c r="K9" s="371">
        <v>0</v>
      </c>
      <c r="L9" s="371">
        <f>J9-K9</f>
        <v>0</v>
      </c>
      <c r="M9" s="303"/>
      <c r="N9" s="303"/>
      <c r="O9" s="368">
        <f>P9-W9</f>
        <v>0</v>
      </c>
      <c r="P9" s="369">
        <f>W9+(W9*$D$33)</f>
        <v>0</v>
      </c>
      <c r="Q9" s="58">
        <f t="shared" ref="Q9:Q11" si="0">P9</f>
        <v>0</v>
      </c>
      <c r="R9" s="371">
        <v>0</v>
      </c>
      <c r="S9" s="371">
        <f>Q9-R9</f>
        <v>0</v>
      </c>
      <c r="T9" s="379"/>
      <c r="U9" s="379"/>
      <c r="V9" s="373">
        <f>W9-AB9</f>
        <v>0</v>
      </c>
      <c r="W9" s="374">
        <v>0</v>
      </c>
      <c r="X9" s="371">
        <f>W9/12*10</f>
        <v>0</v>
      </c>
      <c r="Y9" s="371">
        <v>0</v>
      </c>
      <c r="Z9" s="371">
        <f>X9-Y9</f>
        <v>0</v>
      </c>
      <c r="AA9" s="379"/>
      <c r="AB9" s="375">
        <v>0</v>
      </c>
      <c r="AC9" s="371">
        <f>AB9/12*10</f>
        <v>0</v>
      </c>
      <c r="AD9" s="375">
        <v>0</v>
      </c>
      <c r="AE9" s="372">
        <f>AC9-AD9</f>
        <v>0</v>
      </c>
      <c r="AF9" s="376"/>
      <c r="AG9" s="377" t="s">
        <v>228</v>
      </c>
      <c r="AH9" s="378"/>
      <c r="AI9" s="378"/>
      <c r="AJ9" s="378"/>
    </row>
    <row r="10" spans="1:37" ht="17.399999999999999" x14ac:dyDescent="0.3">
      <c r="A10" s="56" t="s">
        <v>167</v>
      </c>
      <c r="B10" s="56" t="s">
        <v>228</v>
      </c>
      <c r="C10" s="56"/>
      <c r="D10" s="57">
        <f>E10-I10</f>
        <v>351</v>
      </c>
      <c r="E10" s="346">
        <v>800</v>
      </c>
      <c r="F10" s="393"/>
      <c r="G10" s="56"/>
      <c r="H10" s="57">
        <f>I10-P10</f>
        <v>-319</v>
      </c>
      <c r="I10" s="303">
        <v>449</v>
      </c>
      <c r="J10" s="58">
        <f>I10/12*Summary!$H$30</f>
        <v>374.16666666666663</v>
      </c>
      <c r="K10" s="271">
        <v>1365</v>
      </c>
      <c r="L10" s="58">
        <f>J10-K10</f>
        <v>-990.83333333333337</v>
      </c>
      <c r="M10" s="243"/>
      <c r="N10" s="243"/>
      <c r="O10" s="57">
        <f>P10-W10</f>
        <v>18</v>
      </c>
      <c r="P10" s="82">
        <f>W10+(W10*$P$33)</f>
        <v>768</v>
      </c>
      <c r="Q10" s="58">
        <f t="shared" si="0"/>
        <v>768</v>
      </c>
      <c r="R10" s="364">
        <v>385</v>
      </c>
      <c r="S10" s="364">
        <f>Q10-R10</f>
        <v>383</v>
      </c>
      <c r="T10" s="61"/>
      <c r="U10" s="61"/>
      <c r="V10" s="59">
        <f>W10-AB10</f>
        <v>250</v>
      </c>
      <c r="W10" s="62">
        <v>750</v>
      </c>
      <c r="X10" s="58">
        <f>W10/12*10</f>
        <v>625</v>
      </c>
      <c r="Y10" s="58">
        <v>1696.45</v>
      </c>
      <c r="Z10" s="58">
        <f>X10-Y10</f>
        <v>-1071.45</v>
      </c>
      <c r="AA10" s="61"/>
      <c r="AB10" s="35">
        <v>500</v>
      </c>
      <c r="AC10" s="58">
        <f>AB10/12*10</f>
        <v>416.66666666666663</v>
      </c>
      <c r="AD10" s="35">
        <v>666.34</v>
      </c>
      <c r="AE10" s="61">
        <f>AC10-AD10</f>
        <v>-249.6733333333334</v>
      </c>
      <c r="AF10" s="28"/>
    </row>
    <row r="11" spans="1:37" ht="15.6" x14ac:dyDescent="0.3">
      <c r="A11" s="56" t="s">
        <v>127</v>
      </c>
      <c r="B11" s="56"/>
      <c r="C11" s="56"/>
      <c r="D11" s="57">
        <f>E11-I11</f>
        <v>0</v>
      </c>
      <c r="E11" s="267">
        <v>126</v>
      </c>
      <c r="F11" s="317"/>
      <c r="G11" s="56"/>
      <c r="H11" s="57">
        <f>I11-P11</f>
        <v>0</v>
      </c>
      <c r="I11" s="317">
        <v>126</v>
      </c>
      <c r="J11" s="58">
        <f>I11/12*Summary!$H$30</f>
        <v>105</v>
      </c>
      <c r="K11" s="271">
        <v>126</v>
      </c>
      <c r="L11" s="58">
        <f>J11-K11</f>
        <v>-21</v>
      </c>
      <c r="M11" s="245"/>
      <c r="N11" s="245"/>
      <c r="O11" s="57">
        <f>P11-W11</f>
        <v>126</v>
      </c>
      <c r="P11" s="34">
        <f>105*1.2</f>
        <v>126</v>
      </c>
      <c r="Q11" s="58">
        <f t="shared" si="0"/>
        <v>126</v>
      </c>
      <c r="R11" s="364">
        <v>126</v>
      </c>
      <c r="S11" s="364">
        <f>Q11-R11</f>
        <v>0</v>
      </c>
      <c r="T11" s="61"/>
      <c r="U11" s="61"/>
      <c r="V11" s="59">
        <f>W11-AB11</f>
        <v>0</v>
      </c>
      <c r="W11" s="62">
        <v>0</v>
      </c>
      <c r="X11" s="58">
        <f>W11/12*10</f>
        <v>0</v>
      </c>
      <c r="Y11" s="58">
        <v>0</v>
      </c>
      <c r="Z11" s="58">
        <f>X11-Y11</f>
        <v>0</v>
      </c>
      <c r="AA11" s="61"/>
      <c r="AB11" s="60">
        <v>0</v>
      </c>
      <c r="AC11" s="58">
        <f>AB11/12*10</f>
        <v>0</v>
      </c>
      <c r="AD11" s="61">
        <v>0</v>
      </c>
      <c r="AE11" s="61">
        <f>AC11-AD11</f>
        <v>0</v>
      </c>
      <c r="AF11" s="28"/>
      <c r="AH11" s="17"/>
    </row>
    <row r="12" spans="1:37" ht="15.6" x14ac:dyDescent="0.3">
      <c r="A12" s="56"/>
      <c r="B12" s="56"/>
      <c r="C12" s="56"/>
      <c r="D12" s="57"/>
      <c r="E12" s="245"/>
      <c r="F12" s="317"/>
      <c r="G12" s="56"/>
      <c r="H12" s="57"/>
      <c r="I12" s="317"/>
      <c r="J12" s="58"/>
      <c r="K12" s="58"/>
      <c r="L12" s="58"/>
      <c r="M12" s="245"/>
      <c r="N12" s="245"/>
      <c r="O12" s="57"/>
      <c r="P12" s="62"/>
      <c r="Q12" s="58"/>
      <c r="R12" s="364"/>
      <c r="S12" s="364"/>
      <c r="T12" s="61"/>
      <c r="U12" s="61"/>
      <c r="V12" s="59"/>
      <c r="W12" s="62"/>
      <c r="X12" s="58"/>
      <c r="Y12" s="58"/>
      <c r="Z12" s="58"/>
      <c r="AA12" s="61"/>
      <c r="AB12" s="60"/>
      <c r="AC12" s="61"/>
      <c r="AD12" s="61"/>
      <c r="AE12" s="61"/>
      <c r="AF12" s="28"/>
    </row>
    <row r="13" spans="1:37" s="129" customFormat="1" ht="16.2" thickBot="1" x14ac:dyDescent="0.35">
      <c r="A13" s="135" t="s">
        <v>139</v>
      </c>
      <c r="B13" s="55"/>
      <c r="C13" s="55"/>
      <c r="D13" s="63">
        <f>SUM(D7:D12)</f>
        <v>351</v>
      </c>
      <c r="E13" s="64">
        <f>SUM(E7:E12)</f>
        <v>1571</v>
      </c>
      <c r="F13" s="318"/>
      <c r="G13" s="147"/>
      <c r="H13" s="63">
        <f>SUM(H7:H12)</f>
        <v>-207</v>
      </c>
      <c r="I13" s="336">
        <f>SUM(I7:I12)</f>
        <v>1220</v>
      </c>
      <c r="J13" s="66">
        <f t="shared" ref="J13:L13" si="1">SUM(J7:J12)</f>
        <v>1016.6666666666666</v>
      </c>
      <c r="K13" s="66">
        <f t="shared" si="1"/>
        <v>1921</v>
      </c>
      <c r="L13" s="66">
        <f t="shared" si="1"/>
        <v>-904.33333333333337</v>
      </c>
      <c r="M13" s="69"/>
      <c r="N13" s="69"/>
      <c r="O13" s="63">
        <f>SUM(O7:O12)</f>
        <v>157</v>
      </c>
      <c r="P13" s="64">
        <f>SUM(P7:P12)</f>
        <v>1427</v>
      </c>
      <c r="Q13" s="66">
        <f t="shared" ref="Q13:S13" si="2">SUM(Q7:Q12)</f>
        <v>1427</v>
      </c>
      <c r="R13" s="365">
        <f t="shared" si="2"/>
        <v>1195</v>
      </c>
      <c r="S13" s="365">
        <f t="shared" si="2"/>
        <v>232</v>
      </c>
      <c r="T13" s="65"/>
      <c r="U13" s="65"/>
      <c r="V13" s="63">
        <f t="shared" ref="V13:Z13" si="3">SUM(V7:V12)</f>
        <v>355</v>
      </c>
      <c r="W13" s="64">
        <f t="shared" si="3"/>
        <v>1270</v>
      </c>
      <c r="X13" s="66">
        <f t="shared" si="3"/>
        <v>1058.3333333333335</v>
      </c>
      <c r="Y13" s="66">
        <f t="shared" si="3"/>
        <v>2032.45</v>
      </c>
      <c r="Z13" s="66">
        <f t="shared" si="3"/>
        <v>-974.11666666666667</v>
      </c>
      <c r="AA13" s="65"/>
      <c r="AB13" s="72">
        <f t="shared" ref="AB13:AE13" si="4">SUM(AB7:AB12)</f>
        <v>915</v>
      </c>
      <c r="AC13" s="66">
        <f t="shared" si="4"/>
        <v>762.5</v>
      </c>
      <c r="AD13" s="66">
        <f t="shared" si="4"/>
        <v>1039.1300000000001</v>
      </c>
      <c r="AE13" s="66">
        <f t="shared" si="4"/>
        <v>-276.63000000000005</v>
      </c>
      <c r="AF13" s="29"/>
    </row>
    <row r="14" spans="1:37" ht="15.6" x14ac:dyDescent="0.3">
      <c r="A14" s="55"/>
      <c r="B14" s="55"/>
      <c r="C14" s="55"/>
      <c r="D14" s="68"/>
      <c r="E14" s="244"/>
      <c r="F14" s="316"/>
      <c r="G14" s="55"/>
      <c r="H14" s="68"/>
      <c r="I14" s="316"/>
      <c r="J14" s="70"/>
      <c r="K14" s="70"/>
      <c r="L14" s="70"/>
      <c r="M14" s="244"/>
      <c r="N14" s="244"/>
      <c r="O14" s="68"/>
      <c r="P14" s="69"/>
      <c r="Q14" s="70"/>
      <c r="R14" s="366"/>
      <c r="S14" s="366"/>
      <c r="T14" s="65"/>
      <c r="U14" s="65"/>
      <c r="V14" s="68"/>
      <c r="W14" s="69"/>
      <c r="X14" s="70"/>
      <c r="Y14" s="70"/>
      <c r="Z14" s="70"/>
      <c r="AA14" s="65"/>
      <c r="AB14" s="71"/>
      <c r="AC14" s="70"/>
      <c r="AD14" s="70"/>
      <c r="AE14" s="70"/>
      <c r="AF14" s="29"/>
    </row>
    <row r="15" spans="1:37" x14ac:dyDescent="0.3">
      <c r="A15" s="47" t="s">
        <v>23</v>
      </c>
      <c r="E15" s="32"/>
      <c r="F15" s="315"/>
      <c r="G15" s="47"/>
      <c r="J15" s="30"/>
      <c r="K15" s="30"/>
      <c r="L15" s="30"/>
      <c r="O15" s="30"/>
      <c r="Q15" s="30"/>
      <c r="R15" s="361"/>
      <c r="S15" s="361"/>
      <c r="W15" s="32"/>
      <c r="AB15" s="32"/>
    </row>
    <row r="16" spans="1:37" ht="15.6" x14ac:dyDescent="0.3">
      <c r="A16" s="48" t="s">
        <v>22</v>
      </c>
      <c r="B16" s="56"/>
      <c r="C16" s="56"/>
      <c r="D16" s="57">
        <f t="shared" ref="D16:D21" si="5">E16-I16</f>
        <v>-5</v>
      </c>
      <c r="E16" s="346">
        <v>200</v>
      </c>
      <c r="F16" s="393"/>
      <c r="G16" s="48"/>
      <c r="H16" s="57">
        <f t="shared" ref="H16:H21" si="6">I16-P16</f>
        <v>0.19999999999998863</v>
      </c>
      <c r="I16" s="303">
        <v>205</v>
      </c>
      <c r="J16" s="58">
        <f>I16/12*Summary!$H$30</f>
        <v>170.83333333333331</v>
      </c>
      <c r="K16" s="257">
        <v>425</v>
      </c>
      <c r="L16" s="58">
        <f t="shared" ref="L16:L21" si="7">J16-K16</f>
        <v>-254.16666666666669</v>
      </c>
      <c r="M16" s="243"/>
      <c r="N16" s="243"/>
      <c r="O16" s="57">
        <f t="shared" ref="O16:O21" si="8">P16-W16</f>
        <v>4.8000000000000114</v>
      </c>
      <c r="P16" s="82">
        <f t="shared" ref="P16:P19" si="9">W16+(W16*$P$33)</f>
        <v>204.8</v>
      </c>
      <c r="Q16" s="58">
        <f t="shared" ref="Q16:Q21" si="10">P16</f>
        <v>204.8</v>
      </c>
      <c r="R16" s="361">
        <v>95</v>
      </c>
      <c r="S16" s="364">
        <f t="shared" ref="S16:S21" si="11">Q16-R16</f>
        <v>109.80000000000001</v>
      </c>
      <c r="V16" s="59">
        <f t="shared" ref="V16:V21" si="12">W16-AB16</f>
        <v>-200</v>
      </c>
      <c r="W16" s="34">
        <v>200</v>
      </c>
      <c r="X16" s="58">
        <f t="shared" ref="X16:X21" si="13">W16/12*10</f>
        <v>166.66666666666669</v>
      </c>
      <c r="Z16" s="58">
        <f t="shared" ref="Z16:Z21" si="14">X16-Y16</f>
        <v>166.66666666666669</v>
      </c>
      <c r="AB16" s="34">
        <v>400</v>
      </c>
      <c r="AC16" s="58">
        <f t="shared" ref="AC16:AC21" si="15">AB16/12*10</f>
        <v>333.33333333333337</v>
      </c>
      <c r="AD16" s="35">
        <v>157.82</v>
      </c>
      <c r="AG16" s="46"/>
    </row>
    <row r="17" spans="1:34" ht="15.6" x14ac:dyDescent="0.3">
      <c r="A17" s="48" t="s">
        <v>16</v>
      </c>
      <c r="B17" s="56"/>
      <c r="C17" s="56"/>
      <c r="D17" s="57">
        <f t="shared" si="5"/>
        <v>0</v>
      </c>
      <c r="E17" s="346">
        <v>50</v>
      </c>
      <c r="F17" s="393"/>
      <c r="G17" s="48"/>
      <c r="H17" s="57">
        <f t="shared" si="6"/>
        <v>-52.400000000000006</v>
      </c>
      <c r="I17" s="303">
        <v>50</v>
      </c>
      <c r="J17" s="58">
        <f>I17/12*Summary!$H$30</f>
        <v>41.666666666666671</v>
      </c>
      <c r="K17" s="257">
        <v>0</v>
      </c>
      <c r="L17" s="58">
        <f t="shared" si="7"/>
        <v>41.666666666666671</v>
      </c>
      <c r="M17" s="243"/>
      <c r="N17" s="243"/>
      <c r="O17" s="57">
        <f t="shared" si="8"/>
        <v>2.4000000000000057</v>
      </c>
      <c r="P17" s="82">
        <f t="shared" si="9"/>
        <v>102.4</v>
      </c>
      <c r="Q17" s="58">
        <f t="shared" si="10"/>
        <v>102.4</v>
      </c>
      <c r="R17" s="361">
        <v>10</v>
      </c>
      <c r="S17" s="364">
        <f t="shared" si="11"/>
        <v>92.4</v>
      </c>
      <c r="V17" s="59">
        <f t="shared" si="12"/>
        <v>50</v>
      </c>
      <c r="W17" s="34">
        <v>100</v>
      </c>
      <c r="X17" s="58">
        <f t="shared" si="13"/>
        <v>83.333333333333343</v>
      </c>
      <c r="Z17" s="58">
        <f t="shared" si="14"/>
        <v>83.333333333333343</v>
      </c>
      <c r="AB17" s="34">
        <v>50</v>
      </c>
      <c r="AC17" s="58">
        <f t="shared" si="15"/>
        <v>41.666666666666671</v>
      </c>
      <c r="AD17" s="35">
        <v>0</v>
      </c>
    </row>
    <row r="18" spans="1:34" ht="15.6" x14ac:dyDescent="0.3">
      <c r="A18" s="48" t="s">
        <v>12</v>
      </c>
      <c r="B18" s="56"/>
      <c r="C18" s="56"/>
      <c r="D18" s="57">
        <f t="shared" si="5"/>
        <v>0</v>
      </c>
      <c r="E18" s="346">
        <v>100</v>
      </c>
      <c r="F18" s="393"/>
      <c r="G18" s="48"/>
      <c r="H18" s="57">
        <f t="shared" si="6"/>
        <v>-2.4000000000000057</v>
      </c>
      <c r="I18" s="303">
        <v>100</v>
      </c>
      <c r="J18" s="58">
        <f>I18/12*Summary!$H$30</f>
        <v>83.333333333333343</v>
      </c>
      <c r="K18" s="257">
        <v>0</v>
      </c>
      <c r="L18" s="58">
        <f t="shared" si="7"/>
        <v>83.333333333333343</v>
      </c>
      <c r="M18" s="243"/>
      <c r="N18" s="243"/>
      <c r="O18" s="57">
        <f t="shared" si="8"/>
        <v>2.4000000000000057</v>
      </c>
      <c r="P18" s="82">
        <f t="shared" si="9"/>
        <v>102.4</v>
      </c>
      <c r="Q18" s="58">
        <f t="shared" si="10"/>
        <v>102.4</v>
      </c>
      <c r="R18" s="361">
        <v>282</v>
      </c>
      <c r="S18" s="364">
        <f t="shared" si="11"/>
        <v>-179.6</v>
      </c>
      <c r="V18" s="59">
        <f t="shared" si="12"/>
        <v>47</v>
      </c>
      <c r="W18" s="34">
        <v>100</v>
      </c>
      <c r="X18" s="58">
        <f t="shared" si="13"/>
        <v>83.333333333333343</v>
      </c>
      <c r="Z18" s="58">
        <f t="shared" si="14"/>
        <v>83.333333333333343</v>
      </c>
      <c r="AB18" s="34">
        <v>53</v>
      </c>
      <c r="AC18" s="58">
        <f t="shared" si="15"/>
        <v>44.166666666666671</v>
      </c>
      <c r="AD18" s="35">
        <v>90</v>
      </c>
    </row>
    <row r="19" spans="1:34" ht="15.6" x14ac:dyDescent="0.3">
      <c r="A19" s="48" t="s">
        <v>41</v>
      </c>
      <c r="B19" s="56"/>
      <c r="C19" s="56"/>
      <c r="D19" s="57">
        <f t="shared" si="5"/>
        <v>-99</v>
      </c>
      <c r="E19" s="346">
        <v>51</v>
      </c>
      <c r="F19" s="393"/>
      <c r="G19" s="48"/>
      <c r="H19" s="57">
        <f t="shared" si="6"/>
        <v>98.8</v>
      </c>
      <c r="I19" s="303">
        <v>150</v>
      </c>
      <c r="J19" s="58">
        <f>I19/12*Summary!$H$30</f>
        <v>125</v>
      </c>
      <c r="K19" s="257">
        <v>0</v>
      </c>
      <c r="L19" s="58">
        <f t="shared" si="7"/>
        <v>125</v>
      </c>
      <c r="M19" s="243"/>
      <c r="N19" s="243"/>
      <c r="O19" s="57">
        <f t="shared" si="8"/>
        <v>1.2000000000000028</v>
      </c>
      <c r="P19" s="82">
        <f t="shared" si="9"/>
        <v>51.2</v>
      </c>
      <c r="Q19" s="58">
        <f t="shared" si="10"/>
        <v>51.2</v>
      </c>
      <c r="R19" s="361">
        <v>386</v>
      </c>
      <c r="S19" s="364">
        <f t="shared" si="11"/>
        <v>-334.8</v>
      </c>
      <c r="V19" s="59">
        <f t="shared" si="12"/>
        <v>0</v>
      </c>
      <c r="W19" s="34">
        <v>50</v>
      </c>
      <c r="X19" s="58">
        <f t="shared" si="13"/>
        <v>41.666666666666671</v>
      </c>
      <c r="Z19" s="58">
        <f t="shared" si="14"/>
        <v>41.666666666666671</v>
      </c>
      <c r="AB19" s="34">
        <v>50</v>
      </c>
      <c r="AC19" s="58">
        <f t="shared" si="15"/>
        <v>41.666666666666671</v>
      </c>
      <c r="AD19" s="35">
        <v>90</v>
      </c>
    </row>
    <row r="20" spans="1:34" ht="15.6" x14ac:dyDescent="0.3">
      <c r="A20" s="48" t="s">
        <v>128</v>
      </c>
      <c r="D20" s="57">
        <f t="shared" si="5"/>
        <v>0</v>
      </c>
      <c r="E20" s="258">
        <v>0</v>
      </c>
      <c r="F20" s="315"/>
      <c r="G20" s="48"/>
      <c r="H20" s="57">
        <f t="shared" si="6"/>
        <v>-118.03174603174604</v>
      </c>
      <c r="I20" s="315">
        <v>0</v>
      </c>
      <c r="J20" s="58">
        <f>I20/12*Summary!$H$30</f>
        <v>0</v>
      </c>
      <c r="K20" s="257">
        <v>0</v>
      </c>
      <c r="L20" s="58">
        <f t="shared" si="7"/>
        <v>0</v>
      </c>
      <c r="O20" s="57">
        <f t="shared" si="8"/>
        <v>118.03174603174604</v>
      </c>
      <c r="P20" s="34">
        <f>Reserves!X14</f>
        <v>118.03174603174604</v>
      </c>
      <c r="Q20" s="58">
        <f t="shared" si="10"/>
        <v>118.03174603174604</v>
      </c>
      <c r="R20" s="361">
        <v>222</v>
      </c>
      <c r="S20" s="364">
        <f t="shared" si="11"/>
        <v>-103.96825396825396</v>
      </c>
      <c r="V20" s="59">
        <f t="shared" si="12"/>
        <v>0</v>
      </c>
      <c r="W20" s="34">
        <v>0</v>
      </c>
      <c r="X20" s="58">
        <f t="shared" si="13"/>
        <v>0</v>
      </c>
      <c r="Z20" s="58">
        <f t="shared" si="14"/>
        <v>0</v>
      </c>
      <c r="AB20" s="34">
        <v>0</v>
      </c>
      <c r="AC20" s="58">
        <f t="shared" si="15"/>
        <v>0</v>
      </c>
      <c r="AD20" s="35">
        <v>0</v>
      </c>
    </row>
    <row r="21" spans="1:34" ht="15.6" x14ac:dyDescent="0.3">
      <c r="A21" s="48" t="s">
        <v>107</v>
      </c>
      <c r="D21" s="57">
        <f t="shared" si="5"/>
        <v>0</v>
      </c>
      <c r="E21" s="258">
        <v>0</v>
      </c>
      <c r="F21" s="315"/>
      <c r="G21" s="48"/>
      <c r="H21" s="57">
        <f t="shared" si="6"/>
        <v>0</v>
      </c>
      <c r="J21" s="58">
        <f>I21/12*Summary!$H$30</f>
        <v>0</v>
      </c>
      <c r="K21" s="257">
        <v>0</v>
      </c>
      <c r="L21" s="58">
        <f t="shared" si="7"/>
        <v>0</v>
      </c>
      <c r="O21" s="57">
        <f t="shared" si="8"/>
        <v>0</v>
      </c>
      <c r="P21" s="34">
        <v>0</v>
      </c>
      <c r="Q21" s="58">
        <f t="shared" si="10"/>
        <v>0</v>
      </c>
      <c r="R21" s="361">
        <v>0</v>
      </c>
      <c r="S21" s="364">
        <f t="shared" si="11"/>
        <v>0</v>
      </c>
      <c r="V21" s="59">
        <f t="shared" si="12"/>
        <v>0</v>
      </c>
      <c r="W21" s="34">
        <v>0</v>
      </c>
      <c r="X21" s="58">
        <f t="shared" si="13"/>
        <v>0</v>
      </c>
      <c r="Z21" s="58">
        <f t="shared" si="14"/>
        <v>0</v>
      </c>
      <c r="AB21" s="34">
        <v>0</v>
      </c>
      <c r="AC21" s="58">
        <f t="shared" si="15"/>
        <v>0</v>
      </c>
      <c r="AD21" s="35">
        <v>0</v>
      </c>
      <c r="AG21" s="46"/>
    </row>
    <row r="22" spans="1:34" x14ac:dyDescent="0.3">
      <c r="A22" s="48"/>
      <c r="D22" s="31"/>
      <c r="E22" s="32"/>
      <c r="F22" s="315"/>
      <c r="G22" s="48"/>
      <c r="H22" s="31"/>
      <c r="J22" s="30"/>
      <c r="K22" s="30"/>
      <c r="L22" s="30"/>
      <c r="O22" s="31"/>
      <c r="P22" s="34"/>
      <c r="Q22" s="30"/>
      <c r="R22" s="361"/>
      <c r="S22" s="361"/>
      <c r="V22" s="31"/>
      <c r="W22" s="34"/>
      <c r="AB22" s="34"/>
      <c r="AD22" s="35"/>
    </row>
    <row r="23" spans="1:34" s="129" customFormat="1" ht="15" thickBot="1" x14ac:dyDescent="0.35">
      <c r="A23" s="135" t="s">
        <v>140</v>
      </c>
      <c r="D23" s="91">
        <f>SUM(D15:D22)</f>
        <v>-104</v>
      </c>
      <c r="E23" s="92">
        <f>SUM(E15:E22)</f>
        <v>401</v>
      </c>
      <c r="F23" s="424"/>
      <c r="G23" s="147"/>
      <c r="H23" s="91">
        <f>SUM(H15:H22)</f>
        <v>-73.831746031746064</v>
      </c>
      <c r="I23" s="337">
        <f>SUM(I15:I22)</f>
        <v>505</v>
      </c>
      <c r="J23" s="93">
        <f>SUM(J15:J22)</f>
        <v>420.83333333333337</v>
      </c>
      <c r="K23" s="93">
        <f>SUM(K15:K22)</f>
        <v>425</v>
      </c>
      <c r="L23" s="93">
        <f>SUM(L15:L22)</f>
        <v>-4.1666666666666572</v>
      </c>
      <c r="M23" s="254"/>
      <c r="N23" s="254"/>
      <c r="O23" s="91">
        <f>SUM(O15:O22)</f>
        <v>128.83174603174606</v>
      </c>
      <c r="P23" s="92">
        <f>SUM(P15:P22)</f>
        <v>578.83174603174609</v>
      </c>
      <c r="Q23" s="93">
        <f>SUM(Q15:Q22)</f>
        <v>578.83174603174609</v>
      </c>
      <c r="R23" s="362">
        <f>SUM(R15:R22)</f>
        <v>995</v>
      </c>
      <c r="S23" s="362">
        <f>SUM(S15:S22)</f>
        <v>-416.16825396825396</v>
      </c>
      <c r="V23" s="91">
        <f>SUM(V15:V22)</f>
        <v>-103</v>
      </c>
      <c r="W23" s="92">
        <f>SUM(W15:W22)</f>
        <v>450</v>
      </c>
      <c r="X23" s="93">
        <f>SUM(X15:X22)</f>
        <v>375.00000000000006</v>
      </c>
      <c r="Y23" s="93">
        <f>SUM(Y15:Y22)</f>
        <v>0</v>
      </c>
      <c r="Z23" s="93">
        <f>SUM(Z15:Z22)</f>
        <v>375.00000000000006</v>
      </c>
      <c r="AB23" s="92">
        <f>SUM(AB15:AB22)</f>
        <v>553</v>
      </c>
      <c r="AC23" s="93">
        <f>SUM(AC15:AC22)</f>
        <v>460.83333333333343</v>
      </c>
      <c r="AD23" s="93">
        <f>SUM(AD15:AD22)</f>
        <v>337.82</v>
      </c>
      <c r="AE23" s="93">
        <f>SUM(AE15:AE22)</f>
        <v>0</v>
      </c>
    </row>
    <row r="24" spans="1:34" x14ac:dyDescent="0.3">
      <c r="A24" s="33"/>
      <c r="D24" s="31"/>
      <c r="E24" s="32"/>
      <c r="F24" s="315"/>
      <c r="G24" s="33"/>
      <c r="H24" s="31"/>
      <c r="J24" s="30"/>
      <c r="K24" s="30"/>
      <c r="L24" s="30"/>
      <c r="O24" s="31"/>
      <c r="P24" s="39"/>
      <c r="Q24" s="30"/>
      <c r="R24" s="361"/>
      <c r="S24" s="361"/>
      <c r="V24" s="31"/>
      <c r="W24" s="39"/>
      <c r="AB24" s="39"/>
      <c r="AD24" s="40"/>
    </row>
    <row r="25" spans="1:34" ht="15.6" x14ac:dyDescent="0.3">
      <c r="A25" s="48" t="s">
        <v>87</v>
      </c>
      <c r="D25" s="57">
        <f>E25-I25</f>
        <v>0</v>
      </c>
      <c r="E25" s="259">
        <f>I25</f>
        <v>450</v>
      </c>
      <c r="F25" s="303"/>
      <c r="G25" s="48"/>
      <c r="H25" s="57">
        <f>I25-P25</f>
        <v>0</v>
      </c>
      <c r="I25" s="276">
        <f>P25</f>
        <v>450</v>
      </c>
      <c r="J25" s="58">
        <f>I25/12*Summary!$H$30</f>
        <v>375</v>
      </c>
      <c r="K25" s="257">
        <v>375</v>
      </c>
      <c r="L25" s="58">
        <f>J25-K25</f>
        <v>0</v>
      </c>
      <c r="M25" s="240"/>
      <c r="N25" s="240"/>
      <c r="O25" s="57">
        <f>P25-W25</f>
        <v>0</v>
      </c>
      <c r="P25" s="34">
        <v>450</v>
      </c>
      <c r="Q25" s="58">
        <f>P25</f>
        <v>450</v>
      </c>
      <c r="R25" s="361">
        <v>450</v>
      </c>
      <c r="S25" s="364">
        <f>Q25-R25</f>
        <v>0</v>
      </c>
      <c r="V25" s="59">
        <f>W25-AB25</f>
        <v>0</v>
      </c>
      <c r="W25" s="34">
        <v>450</v>
      </c>
      <c r="X25" s="58">
        <f>W25/12*10</f>
        <v>375</v>
      </c>
      <c r="Z25" s="58">
        <f>X25-Y25</f>
        <v>375</v>
      </c>
      <c r="AB25" s="34">
        <v>450</v>
      </c>
      <c r="AC25" s="58">
        <f>AB25/12*10</f>
        <v>375</v>
      </c>
      <c r="AD25" s="35">
        <v>0</v>
      </c>
    </row>
    <row r="26" spans="1:34" x14ac:dyDescent="0.3">
      <c r="A26" s="48"/>
      <c r="D26" s="31"/>
      <c r="E26" s="32"/>
      <c r="F26" s="315"/>
      <c r="G26" s="48"/>
      <c r="H26" s="31"/>
      <c r="J26" s="30"/>
      <c r="K26" s="30"/>
      <c r="L26" s="30"/>
      <c r="O26" s="31"/>
      <c r="P26" s="34"/>
      <c r="Q26" s="30"/>
      <c r="R26" s="361"/>
      <c r="S26" s="361"/>
      <c r="V26" s="31"/>
      <c r="W26" s="34"/>
      <c r="AB26" s="34"/>
      <c r="AD26" s="35"/>
    </row>
    <row r="27" spans="1:34" s="129" customFormat="1" ht="15" thickBot="1" x14ac:dyDescent="0.35">
      <c r="A27" s="135" t="s">
        <v>138</v>
      </c>
      <c r="D27" s="91">
        <f>D13+D23+D25</f>
        <v>247</v>
      </c>
      <c r="E27" s="92">
        <f>E13+E23+E25</f>
        <v>2422</v>
      </c>
      <c r="F27" s="424"/>
      <c r="G27" s="147"/>
      <c r="H27" s="91">
        <f>H13+H23+H25</f>
        <v>-280.83174603174609</v>
      </c>
      <c r="I27" s="337">
        <f>I13+I23+I25</f>
        <v>2175</v>
      </c>
      <c r="J27" s="93">
        <f>J13+J23+J25</f>
        <v>1812.5</v>
      </c>
      <c r="K27" s="93">
        <f>K13+K23+K25</f>
        <v>2721</v>
      </c>
      <c r="L27" s="93">
        <f>L13+L23+L25</f>
        <v>-908.5</v>
      </c>
      <c r="M27" s="254"/>
      <c r="N27" s="254"/>
      <c r="O27" s="91">
        <f>O13+O23+O25</f>
        <v>285.83174603174609</v>
      </c>
      <c r="P27" s="92">
        <f>P13+P23+P25</f>
        <v>2455.8317460317462</v>
      </c>
      <c r="Q27" s="93">
        <f>Q13+Q23+Q25</f>
        <v>2455.8317460317462</v>
      </c>
      <c r="R27" s="362">
        <f>R13+R23+R25</f>
        <v>2640</v>
      </c>
      <c r="S27" s="362">
        <f>S13+S23+S25</f>
        <v>-184.16825396825396</v>
      </c>
      <c r="V27" s="91">
        <f>V13+V23+V25</f>
        <v>252</v>
      </c>
      <c r="W27" s="92">
        <f>W13+W23+W25</f>
        <v>2170</v>
      </c>
      <c r="X27" s="93">
        <f>X13+X23+X25</f>
        <v>1808.3333333333335</v>
      </c>
      <c r="Y27" s="93">
        <f>Y13+Y23+Y25</f>
        <v>2032.45</v>
      </c>
      <c r="Z27" s="93">
        <f>Z13+Z23+Z25</f>
        <v>-224.11666666666656</v>
      </c>
      <c r="AB27" s="92">
        <f>AB13+AB23+AB25</f>
        <v>1918</v>
      </c>
      <c r="AC27" s="93">
        <f>AC13+AC23+AC25</f>
        <v>1598.3333333333335</v>
      </c>
      <c r="AD27" s="93">
        <f>AD13+AD23+AD25</f>
        <v>1376.95</v>
      </c>
      <c r="AE27" s="93">
        <f>AE13+AE23+AE25</f>
        <v>-276.63000000000005</v>
      </c>
    </row>
    <row r="28" spans="1:34" x14ac:dyDescent="0.3">
      <c r="D28" s="31"/>
      <c r="E28" s="32"/>
      <c r="F28" s="315"/>
      <c r="H28" s="31"/>
      <c r="J28" s="30"/>
      <c r="K28" s="30"/>
      <c r="L28" s="30"/>
      <c r="O28" s="31"/>
      <c r="P28" s="39"/>
      <c r="Q28" s="30"/>
      <c r="R28" s="361"/>
      <c r="S28" s="361"/>
      <c r="V28" s="31"/>
      <c r="W28" s="142"/>
      <c r="AB28" s="39"/>
      <c r="AD28" s="40"/>
      <c r="AG28" s="41"/>
    </row>
    <row r="29" spans="1:34" ht="15.6" x14ac:dyDescent="0.3">
      <c r="A29" s="48" t="s">
        <v>96</v>
      </c>
      <c r="D29" s="57">
        <f>E29-I29</f>
        <v>2220</v>
      </c>
      <c r="E29" s="243">
        <f>Reserves!E14</f>
        <v>3750</v>
      </c>
      <c r="F29" s="303"/>
      <c r="G29" s="48"/>
      <c r="H29" s="57">
        <f>I29-P29</f>
        <v>90</v>
      </c>
      <c r="I29" s="276">
        <v>1530</v>
      </c>
      <c r="J29" s="58">
        <f>I29/12*Summary!$H$30</f>
        <v>1275</v>
      </c>
      <c r="K29" s="371">
        <f>J29</f>
        <v>1275</v>
      </c>
      <c r="L29" s="58">
        <f>J29-K29</f>
        <v>0</v>
      </c>
      <c r="M29" s="240"/>
      <c r="N29" s="240"/>
      <c r="O29" s="57">
        <f>P29-W29</f>
        <v>-360</v>
      </c>
      <c r="P29" s="34">
        <v>1440</v>
      </c>
      <c r="Q29" s="58">
        <f>P29</f>
        <v>1440</v>
      </c>
      <c r="R29" s="361">
        <v>1800</v>
      </c>
      <c r="S29" s="364">
        <f>Q29-R29</f>
        <v>-360</v>
      </c>
      <c r="V29" s="59">
        <f>W29-AB29</f>
        <v>0</v>
      </c>
      <c r="W29" s="34">
        <v>1800</v>
      </c>
      <c r="X29" s="58">
        <f>W29/12*10</f>
        <v>1500</v>
      </c>
      <c r="Z29" s="58">
        <f>X29-Y29</f>
        <v>1500</v>
      </c>
      <c r="AB29" s="34">
        <v>1800</v>
      </c>
      <c r="AC29" s="58">
        <f>AB29/12*10</f>
        <v>1500</v>
      </c>
      <c r="AD29" s="35">
        <v>1350</v>
      </c>
    </row>
    <row r="30" spans="1:34" x14ac:dyDescent="0.3">
      <c r="A30" s="48"/>
      <c r="D30" s="31"/>
      <c r="E30" s="32"/>
      <c r="F30" s="315"/>
      <c r="G30" s="48"/>
      <c r="J30" s="30"/>
      <c r="K30" s="30"/>
      <c r="L30" s="30"/>
      <c r="O30" s="31"/>
      <c r="P30" s="34"/>
      <c r="Q30" s="30"/>
      <c r="R30" s="361"/>
      <c r="S30" s="361"/>
      <c r="V30" s="31"/>
      <c r="W30" s="34"/>
      <c r="AB30" s="34"/>
      <c r="AD30" s="35"/>
    </row>
    <row r="31" spans="1:34" s="129" customFormat="1" ht="15" thickBot="1" x14ac:dyDescent="0.35">
      <c r="A31" s="135" t="s">
        <v>1</v>
      </c>
      <c r="D31" s="95">
        <f t="shared" ref="D31" si="16">SUM(D27:D30)</f>
        <v>2467</v>
      </c>
      <c r="E31" s="96">
        <f t="shared" ref="E31" si="17">SUM(E27:E30)</f>
        <v>6172</v>
      </c>
      <c r="F31" s="419"/>
      <c r="G31" s="147"/>
      <c r="H31" s="95">
        <f t="shared" ref="H31" si="18">SUM(H27:H30)</f>
        <v>-190.83174603174609</v>
      </c>
      <c r="I31" s="333">
        <f t="shared" ref="I31:L31" si="19">SUM(I27:I30)</f>
        <v>3705</v>
      </c>
      <c r="J31" s="50">
        <f t="shared" si="19"/>
        <v>3087.5</v>
      </c>
      <c r="K31" s="50">
        <f t="shared" si="19"/>
        <v>3996</v>
      </c>
      <c r="L31" s="50">
        <f t="shared" si="19"/>
        <v>-908.5</v>
      </c>
      <c r="M31" s="251"/>
      <c r="N31" s="251"/>
      <c r="O31" s="95">
        <f>SUM(O27:O30)</f>
        <v>-74.168253968253907</v>
      </c>
      <c r="P31" s="96">
        <f>SUM(P27:P30)</f>
        <v>3895.8317460317462</v>
      </c>
      <c r="Q31" s="50">
        <f t="shared" ref="Q31:S31" si="20">SUM(Q27:Q30)</f>
        <v>3895.8317460317462</v>
      </c>
      <c r="R31" s="50">
        <f t="shared" si="20"/>
        <v>4440</v>
      </c>
      <c r="S31" s="50">
        <f t="shared" si="20"/>
        <v>-544.16825396825402</v>
      </c>
      <c r="V31" s="95">
        <f t="shared" ref="V31:Z31" si="21">SUM(V27:V30)</f>
        <v>252</v>
      </c>
      <c r="W31" s="96">
        <f t="shared" si="21"/>
        <v>3970</v>
      </c>
      <c r="X31" s="50">
        <f t="shared" si="21"/>
        <v>3308.3333333333335</v>
      </c>
      <c r="Y31" s="50">
        <f t="shared" si="21"/>
        <v>2032.45</v>
      </c>
      <c r="Z31" s="50">
        <f t="shared" si="21"/>
        <v>1275.8833333333334</v>
      </c>
      <c r="AB31" s="96">
        <f>SUM(AB27:AB30)</f>
        <v>3718</v>
      </c>
      <c r="AC31" s="50">
        <f t="shared" ref="AC31:AE31" si="22">SUM(AC27:AC30)</f>
        <v>3098.3333333333335</v>
      </c>
      <c r="AD31" s="50">
        <f t="shared" si="22"/>
        <v>2726.95</v>
      </c>
      <c r="AE31" s="50">
        <f t="shared" si="22"/>
        <v>-276.63000000000005</v>
      </c>
      <c r="AG31" s="155">
        <f>SUM(B31:AF31)</f>
        <v>50046.815238095231</v>
      </c>
      <c r="AH31" s="156" t="s">
        <v>143</v>
      </c>
    </row>
    <row r="33" spans="1:18" x14ac:dyDescent="0.3">
      <c r="A33" s="233" t="str">
        <f>"* "&amp;Summary!$A$26</f>
        <v>* Inflation Factor, CPI to 16th September, 2020</v>
      </c>
      <c r="B33" s="233"/>
      <c r="C33" s="233"/>
      <c r="D33" s="233"/>
      <c r="E33" s="353">
        <f>Summary!$E$26</f>
        <v>5.0000000000000001E-3</v>
      </c>
      <c r="F33" s="201"/>
      <c r="G33" s="233"/>
      <c r="H33" s="436" t="str">
        <f>Summary!$H$26</f>
        <v>October, 2019</v>
      </c>
      <c r="I33" s="353">
        <f>Summary!$I$26</f>
        <v>1.7000000000000001E-2</v>
      </c>
      <c r="J33" s="311"/>
      <c r="K33" s="311"/>
      <c r="L33" s="311"/>
      <c r="M33" s="241"/>
      <c r="N33" s="241"/>
      <c r="O33" s="436" t="str">
        <f>Summary!$O$26</f>
        <v>October, 2018</v>
      </c>
      <c r="P33" s="353">
        <f>Summary!$P$26</f>
        <v>2.4E-2</v>
      </c>
      <c r="Q33" s="241"/>
    </row>
    <row r="35" spans="1:18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30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30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30" customHeigh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30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</sheetData>
  <mergeCells count="17">
    <mergeCell ref="H4:H5"/>
    <mergeCell ref="D3:E3"/>
    <mergeCell ref="D4:D5"/>
    <mergeCell ref="E4:E5"/>
    <mergeCell ref="H3:L3"/>
    <mergeCell ref="I4:J4"/>
    <mergeCell ref="AB3:AE3"/>
    <mergeCell ref="O4:O5"/>
    <mergeCell ref="V4:V5"/>
    <mergeCell ref="W4:X4"/>
    <mergeCell ref="AB4:AC4"/>
    <mergeCell ref="X5:Z5"/>
    <mergeCell ref="AC5:AE5"/>
    <mergeCell ref="P4:Q4"/>
    <mergeCell ref="Q5:S5"/>
    <mergeCell ref="O3:S3"/>
    <mergeCell ref="V3:Z3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6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K56"/>
  <sheetViews>
    <sheetView showGridLines="0" zoomScale="80" zoomScaleNormal="80" workbookViewId="0">
      <pane ySplit="5" topLeftCell="A6" activePane="bottomLeft" state="frozen"/>
      <selection activeCell="H32" sqref="H32:I32"/>
      <selection pane="bottomLeft" activeCell="E27" sqref="E27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8" width="11.6640625" style="30" customWidth="1"/>
    <col min="19" max="19" width="11.5546875" style="30" customWidth="1"/>
    <col min="20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ht="21" x14ac:dyDescent="0.3">
      <c r="A1" s="54" t="s">
        <v>179</v>
      </c>
      <c r="B1" s="51"/>
      <c r="C1" s="51"/>
      <c r="D1" s="54" t="s">
        <v>172</v>
      </c>
      <c r="E1" s="233"/>
      <c r="F1" s="201"/>
      <c r="H1" s="181">
        <v>12</v>
      </c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ht="15.6" x14ac:dyDescent="0.3">
      <c r="A7" s="55" t="s">
        <v>20</v>
      </c>
      <c r="B7" s="55"/>
      <c r="C7" s="55"/>
      <c r="D7" s="55"/>
      <c r="E7" s="55"/>
      <c r="F7" s="423"/>
      <c r="G7" s="55"/>
      <c r="H7" s="55"/>
      <c r="I7" s="316"/>
      <c r="J7" s="316"/>
      <c r="K7" s="55"/>
      <c r="L7" s="316"/>
      <c r="M7" s="244"/>
      <c r="N7" s="244"/>
      <c r="O7" s="59"/>
      <c r="P7" s="60"/>
      <c r="Q7" s="244"/>
      <c r="S7" s="61"/>
      <c r="T7" s="61"/>
      <c r="U7" s="61"/>
      <c r="V7" s="59"/>
      <c r="W7" s="60"/>
      <c r="X7" s="61"/>
      <c r="Y7" s="61"/>
      <c r="Z7" s="61"/>
      <c r="AA7" s="61"/>
      <c r="AB7" s="60"/>
      <c r="AC7" s="61"/>
      <c r="AD7" s="61"/>
      <c r="AE7" s="61"/>
      <c r="AF7" s="27"/>
      <c r="AG7" s="27"/>
    </row>
    <row r="8" spans="1:34" ht="15.6" x14ac:dyDescent="0.3">
      <c r="A8" s="56" t="s">
        <v>21</v>
      </c>
      <c r="B8" s="56"/>
      <c r="C8" s="56"/>
      <c r="D8" s="57">
        <f>E8-I8</f>
        <v>0</v>
      </c>
      <c r="E8" s="267">
        <v>660</v>
      </c>
      <c r="F8" s="317"/>
      <c r="G8" s="56"/>
      <c r="H8" s="57">
        <f>I8-P8</f>
        <v>114</v>
      </c>
      <c r="I8" s="317">
        <v>660</v>
      </c>
      <c r="J8" s="83">
        <f>I8/12*Summary!$H$30</f>
        <v>550</v>
      </c>
      <c r="K8" s="271">
        <v>440</v>
      </c>
      <c r="L8" s="58">
        <f>J8-K8</f>
        <v>110</v>
      </c>
      <c r="M8" s="245"/>
      <c r="N8" s="245"/>
      <c r="O8" s="57">
        <f>P8-W8</f>
        <v>-4</v>
      </c>
      <c r="P8" s="62">
        <v>546</v>
      </c>
      <c r="Q8" s="58">
        <f>P8</f>
        <v>546</v>
      </c>
      <c r="R8" s="364">
        <v>588</v>
      </c>
      <c r="S8" s="58">
        <f>Q8-R8</f>
        <v>-42</v>
      </c>
      <c r="T8" s="61"/>
      <c r="U8" s="61"/>
      <c r="V8" s="59">
        <f>W8-AB8</f>
        <v>135</v>
      </c>
      <c r="W8" s="62">
        <v>550</v>
      </c>
      <c r="X8" s="58">
        <f>W8/12*10</f>
        <v>458.33333333333337</v>
      </c>
      <c r="Y8" s="58">
        <v>340.8</v>
      </c>
      <c r="Z8" s="58">
        <f>X8-Y8</f>
        <v>117.53333333333336</v>
      </c>
      <c r="AA8" s="61"/>
      <c r="AB8" s="60">
        <v>415</v>
      </c>
      <c r="AC8" s="58">
        <f>AB8/12*10</f>
        <v>345.83333333333337</v>
      </c>
      <c r="AD8" s="61">
        <v>377.59</v>
      </c>
      <c r="AE8" s="61">
        <f>AC8-AD8</f>
        <v>-31.756666666666604</v>
      </c>
      <c r="AF8" s="28"/>
      <c r="AG8" s="73"/>
    </row>
    <row r="9" spans="1:34" ht="15.6" x14ac:dyDescent="0.3">
      <c r="A9" s="56" t="s">
        <v>14</v>
      </c>
      <c r="B9" s="56"/>
      <c r="C9" s="56"/>
      <c r="D9" s="57">
        <f>E9-I9</f>
        <v>0</v>
      </c>
      <c r="E9" s="346">
        <v>90</v>
      </c>
      <c r="F9" s="393"/>
      <c r="G9" s="56"/>
      <c r="H9" s="57">
        <f>I9-P9</f>
        <v>-12.400000000000006</v>
      </c>
      <c r="I9" s="303">
        <v>90</v>
      </c>
      <c r="J9" s="83">
        <f>I9/12*Summary!$H$30</f>
        <v>75</v>
      </c>
      <c r="K9" s="271">
        <v>30</v>
      </c>
      <c r="L9" s="58">
        <f>J9-K9</f>
        <v>45</v>
      </c>
      <c r="M9" s="243"/>
      <c r="N9" s="243"/>
      <c r="O9" s="57">
        <f>P9-W9</f>
        <v>2.4000000000000057</v>
      </c>
      <c r="P9" s="82">
        <f>W9+(W9*$P$35)</f>
        <v>102.4</v>
      </c>
      <c r="Q9" s="58">
        <f t="shared" ref="Q9:Q11" si="0">P9</f>
        <v>102.4</v>
      </c>
      <c r="R9" s="364">
        <v>80</v>
      </c>
      <c r="S9" s="58">
        <f>Q9-R9</f>
        <v>22.400000000000006</v>
      </c>
      <c r="T9" s="61"/>
      <c r="U9" s="61"/>
      <c r="V9" s="59">
        <f t="shared" ref="V9:V11" si="1">W9-AB9</f>
        <v>0</v>
      </c>
      <c r="W9" s="62">
        <v>100</v>
      </c>
      <c r="X9" s="58">
        <f>W9/12*10</f>
        <v>83.333333333333343</v>
      </c>
      <c r="Y9" s="58">
        <v>80</v>
      </c>
      <c r="Z9" s="58">
        <f>X9-Y9</f>
        <v>3.3333333333333428</v>
      </c>
      <c r="AA9" s="61"/>
      <c r="AB9" s="60">
        <v>100</v>
      </c>
      <c r="AC9" s="58">
        <f>AB9/12*10</f>
        <v>83.333333333333343</v>
      </c>
      <c r="AD9" s="61">
        <v>80</v>
      </c>
      <c r="AE9" s="61">
        <f>AC9-AD9</f>
        <v>3.3333333333333428</v>
      </c>
      <c r="AF9" s="28"/>
      <c r="AG9" s="73"/>
      <c r="AH9" s="17"/>
    </row>
    <row r="10" spans="1:34" ht="15.6" x14ac:dyDescent="0.3">
      <c r="A10" s="56" t="s">
        <v>15</v>
      </c>
      <c r="B10" s="56"/>
      <c r="C10" s="56"/>
      <c r="D10" s="57">
        <f>E10-I10</f>
        <v>22</v>
      </c>
      <c r="E10" s="346">
        <v>440</v>
      </c>
      <c r="F10" s="393"/>
      <c r="G10" s="56"/>
      <c r="H10" s="57">
        <f>I10-P10</f>
        <v>162</v>
      </c>
      <c r="I10" s="303">
        <v>418</v>
      </c>
      <c r="J10" s="83">
        <f>I10/12*Summary!$H$30</f>
        <v>348.33333333333337</v>
      </c>
      <c r="K10" s="271">
        <v>0</v>
      </c>
      <c r="L10" s="58">
        <f>J10-K10</f>
        <v>348.33333333333337</v>
      </c>
      <c r="M10" s="243"/>
      <c r="N10" s="243"/>
      <c r="O10" s="57">
        <f>P10-W10</f>
        <v>6</v>
      </c>
      <c r="P10" s="82">
        <f>W10+(W10*$P$35)</f>
        <v>256</v>
      </c>
      <c r="Q10" s="58">
        <f t="shared" si="0"/>
        <v>256</v>
      </c>
      <c r="R10" s="364">
        <v>418</v>
      </c>
      <c r="S10" s="58">
        <f>Q10-R10</f>
        <v>-162</v>
      </c>
      <c r="T10" s="61"/>
      <c r="U10" s="61"/>
      <c r="V10" s="59">
        <f t="shared" si="1"/>
        <v>0</v>
      </c>
      <c r="W10" s="62">
        <v>250</v>
      </c>
      <c r="X10" s="58">
        <f>W10/12*10</f>
        <v>208.33333333333331</v>
      </c>
      <c r="Y10" s="58">
        <v>0</v>
      </c>
      <c r="Z10" s="58">
        <f>X10-Y10</f>
        <v>208.33333333333331</v>
      </c>
      <c r="AA10" s="61"/>
      <c r="AB10" s="60">
        <v>250</v>
      </c>
      <c r="AC10" s="58">
        <f>AB10/12*10</f>
        <v>208.33333333333331</v>
      </c>
      <c r="AD10" s="61">
        <v>0</v>
      </c>
      <c r="AE10" s="61">
        <f>AC10-AD10</f>
        <v>208.33333333333331</v>
      </c>
      <c r="AF10" s="28"/>
      <c r="AG10" s="145"/>
    </row>
    <row r="11" spans="1:34" ht="15.6" x14ac:dyDescent="0.3">
      <c r="A11" s="56" t="s">
        <v>127</v>
      </c>
      <c r="B11" s="56"/>
      <c r="C11" s="56"/>
      <c r="D11" s="57">
        <f>E11-I11</f>
        <v>0</v>
      </c>
      <c r="E11" s="267">
        <v>168</v>
      </c>
      <c r="F11" s="317"/>
      <c r="G11" s="56"/>
      <c r="H11" s="57">
        <f>I11-P11</f>
        <v>0</v>
      </c>
      <c r="I11" s="317">
        <v>168</v>
      </c>
      <c r="J11" s="83">
        <f>I11/12*Summary!$H$30</f>
        <v>140</v>
      </c>
      <c r="K11" s="271">
        <v>168</v>
      </c>
      <c r="L11" s="58">
        <f>J11-K11</f>
        <v>-28</v>
      </c>
      <c r="M11" s="245"/>
      <c r="N11" s="245"/>
      <c r="O11" s="57">
        <f>P11-W11</f>
        <v>168</v>
      </c>
      <c r="P11" s="62">
        <f>140*1.2</f>
        <v>168</v>
      </c>
      <c r="Q11" s="58">
        <f t="shared" si="0"/>
        <v>168</v>
      </c>
      <c r="R11" s="364">
        <v>168</v>
      </c>
      <c r="S11" s="58">
        <f>Q11-R11</f>
        <v>0</v>
      </c>
      <c r="T11" s="61"/>
      <c r="U11" s="61"/>
      <c r="V11" s="59">
        <f t="shared" si="1"/>
        <v>0</v>
      </c>
      <c r="W11" s="62">
        <v>0</v>
      </c>
      <c r="X11" s="58">
        <f>W11/12*10</f>
        <v>0</v>
      </c>
      <c r="Y11" s="58">
        <v>0</v>
      </c>
      <c r="Z11" s="58">
        <f>X11-Y11</f>
        <v>0</v>
      </c>
      <c r="AA11" s="61"/>
      <c r="AB11" s="60">
        <v>0</v>
      </c>
      <c r="AC11" s="58">
        <f>AB11/12*10</f>
        <v>0</v>
      </c>
      <c r="AD11" s="61">
        <v>0</v>
      </c>
      <c r="AE11" s="61">
        <f>AC11-AD11</f>
        <v>0</v>
      </c>
      <c r="AF11" s="28"/>
      <c r="AG11" s="75"/>
    </row>
    <row r="12" spans="1:34" ht="15.6" x14ac:dyDescent="0.3">
      <c r="A12" s="56"/>
      <c r="B12" s="56"/>
      <c r="C12" s="56"/>
      <c r="D12" s="57"/>
      <c r="E12" s="245"/>
      <c r="F12" s="317"/>
      <c r="G12" s="56"/>
      <c r="H12" s="57"/>
      <c r="I12" s="317"/>
      <c r="J12" s="58"/>
      <c r="K12" s="58"/>
      <c r="L12" s="58"/>
      <c r="M12" s="245"/>
      <c r="N12" s="245"/>
      <c r="O12" s="57"/>
      <c r="P12" s="62"/>
      <c r="Q12" s="58"/>
      <c r="R12" s="364"/>
      <c r="S12" s="58"/>
      <c r="T12" s="61"/>
      <c r="U12" s="61"/>
      <c r="V12" s="59"/>
      <c r="W12" s="62"/>
      <c r="X12" s="58"/>
      <c r="Y12" s="58"/>
      <c r="Z12" s="58"/>
      <c r="AA12" s="61"/>
      <c r="AB12" s="60"/>
      <c r="AC12" s="61"/>
      <c r="AD12" s="61"/>
      <c r="AE12" s="61"/>
      <c r="AF12" s="28"/>
      <c r="AG12" s="35"/>
    </row>
    <row r="13" spans="1:34" s="129" customFormat="1" ht="16.2" thickBot="1" x14ac:dyDescent="0.35">
      <c r="A13" s="135" t="s">
        <v>139</v>
      </c>
      <c r="B13" s="55"/>
      <c r="C13" s="55"/>
      <c r="D13" s="63">
        <f>SUM(D7:D12)</f>
        <v>22</v>
      </c>
      <c r="E13" s="64">
        <f>SUM(E7:E12)</f>
        <v>1358</v>
      </c>
      <c r="F13" s="318"/>
      <c r="G13" s="147"/>
      <c r="H13" s="63">
        <f>SUM(H7:H12)</f>
        <v>263.60000000000002</v>
      </c>
      <c r="I13" s="336">
        <f>SUM(I7:I12)</f>
        <v>1336</v>
      </c>
      <c r="J13" s="66">
        <f t="shared" ref="J13:L13" si="2">SUM(J7:J12)</f>
        <v>1113.3333333333335</v>
      </c>
      <c r="K13" s="66">
        <f t="shared" si="2"/>
        <v>638</v>
      </c>
      <c r="L13" s="66">
        <f t="shared" si="2"/>
        <v>475.33333333333337</v>
      </c>
      <c r="M13" s="69"/>
      <c r="N13" s="69"/>
      <c r="O13" s="63">
        <f>SUM(O7:O12)</f>
        <v>172.4</v>
      </c>
      <c r="P13" s="64">
        <f>SUM(P7:P12)</f>
        <v>1072.4000000000001</v>
      </c>
      <c r="Q13" s="66">
        <f t="shared" ref="Q13:S13" si="3">SUM(Q7:Q12)</f>
        <v>1072.4000000000001</v>
      </c>
      <c r="R13" s="365">
        <f t="shared" si="3"/>
        <v>1254</v>
      </c>
      <c r="S13" s="66">
        <f t="shared" si="3"/>
        <v>-181.6</v>
      </c>
      <c r="T13" s="65"/>
      <c r="U13" s="65"/>
      <c r="V13" s="63">
        <f t="shared" ref="V13:Z13" si="4">SUM(V7:V12)</f>
        <v>135</v>
      </c>
      <c r="W13" s="64">
        <f t="shared" si="4"/>
        <v>900</v>
      </c>
      <c r="X13" s="66">
        <f t="shared" si="4"/>
        <v>750</v>
      </c>
      <c r="Y13" s="66">
        <f t="shared" si="4"/>
        <v>420.8</v>
      </c>
      <c r="Z13" s="66">
        <f t="shared" si="4"/>
        <v>329.20000000000005</v>
      </c>
      <c r="AA13" s="65"/>
      <c r="AB13" s="72">
        <f t="shared" ref="AB13:AE13" si="5">SUM(AB7:AB12)</f>
        <v>765</v>
      </c>
      <c r="AC13" s="66">
        <f t="shared" si="5"/>
        <v>637.5</v>
      </c>
      <c r="AD13" s="66">
        <f t="shared" si="5"/>
        <v>457.59</v>
      </c>
      <c r="AE13" s="66">
        <f t="shared" si="5"/>
        <v>179.91000000000005</v>
      </c>
      <c r="AF13" s="29"/>
      <c r="AG13" s="43"/>
    </row>
    <row r="14" spans="1:34" x14ac:dyDescent="0.3">
      <c r="D14" s="112"/>
      <c r="E14" s="32"/>
      <c r="F14" s="315"/>
      <c r="H14" s="112"/>
      <c r="J14" s="114"/>
      <c r="K14" s="114"/>
      <c r="L14" s="114"/>
      <c r="O14" s="112"/>
      <c r="P14" s="113"/>
      <c r="Q14" s="114"/>
      <c r="R14" s="357"/>
      <c r="S14" s="114"/>
      <c r="T14" s="114"/>
      <c r="U14" s="114"/>
      <c r="V14" s="112"/>
      <c r="W14" s="113"/>
      <c r="X14" s="114"/>
      <c r="Y14" s="114"/>
      <c r="Z14" s="114"/>
      <c r="AA14" s="114"/>
      <c r="AB14" s="113"/>
      <c r="AC14" s="114"/>
      <c r="AD14" s="114"/>
      <c r="AE14" s="114"/>
      <c r="AG14" s="35"/>
    </row>
    <row r="15" spans="1:34" x14ac:dyDescent="0.3">
      <c r="A15" s="47" t="s">
        <v>23</v>
      </c>
      <c r="D15" s="112"/>
      <c r="E15" s="32"/>
      <c r="F15" s="315"/>
      <c r="G15" s="47"/>
      <c r="H15" s="112"/>
      <c r="J15" s="114"/>
      <c r="K15" s="114"/>
      <c r="L15" s="114"/>
      <c r="O15" s="112"/>
      <c r="P15" s="113"/>
      <c r="Q15" s="114"/>
      <c r="R15" s="357"/>
      <c r="S15" s="114"/>
      <c r="T15" s="114"/>
      <c r="U15" s="114"/>
      <c r="V15" s="112"/>
      <c r="W15" s="113"/>
      <c r="X15" s="114"/>
      <c r="Y15" s="114"/>
      <c r="Z15" s="114"/>
      <c r="AA15" s="114"/>
      <c r="AB15" s="113"/>
      <c r="AC15" s="114"/>
      <c r="AD15" s="114"/>
      <c r="AE15" s="114"/>
      <c r="AG15" s="35"/>
    </row>
    <row r="16" spans="1:34" ht="15.6" x14ac:dyDescent="0.3">
      <c r="A16" s="48" t="s">
        <v>22</v>
      </c>
      <c r="B16" s="56"/>
      <c r="C16" s="56"/>
      <c r="D16" s="57">
        <f t="shared" ref="D16:D23" si="6">E16-I16</f>
        <v>-300</v>
      </c>
      <c r="E16" s="267">
        <v>200</v>
      </c>
      <c r="F16" s="317"/>
      <c r="G16" s="48"/>
      <c r="H16" s="57">
        <f t="shared" ref="H16:H23" si="7">I16-P16</f>
        <v>0</v>
      </c>
      <c r="I16" s="317">
        <v>500</v>
      </c>
      <c r="J16" s="83">
        <f>I16/12*Summary!$H$30</f>
        <v>416.66666666666663</v>
      </c>
      <c r="K16" s="271">
        <v>600</v>
      </c>
      <c r="L16" s="58">
        <f t="shared" ref="L16:L23" si="8">J16-K16</f>
        <v>-183.33333333333337</v>
      </c>
      <c r="M16" s="245"/>
      <c r="N16" s="245"/>
      <c r="O16" s="57">
        <f t="shared" ref="O16:O22" si="9">P16-W16</f>
        <v>-1300</v>
      </c>
      <c r="P16" s="113">
        <v>500</v>
      </c>
      <c r="Q16" s="58">
        <f t="shared" ref="Q16:Q23" si="10">P16</f>
        <v>500</v>
      </c>
      <c r="R16" s="364">
        <v>1308</v>
      </c>
      <c r="S16" s="58">
        <f t="shared" ref="S16:S22" si="11">Q16-R16</f>
        <v>-808</v>
      </c>
      <c r="T16" s="114"/>
      <c r="U16" s="114"/>
      <c r="V16" s="59">
        <f t="shared" ref="V16:V22" si="12">W16-AB16</f>
        <v>1400</v>
      </c>
      <c r="W16" s="113">
        <v>1800</v>
      </c>
      <c r="X16" s="58">
        <f t="shared" ref="X16:X22" si="13">W16/12*10</f>
        <v>1500</v>
      </c>
      <c r="Y16" s="58">
        <v>4197.2299999999996</v>
      </c>
      <c r="Z16" s="58">
        <f t="shared" ref="Z16:Z22" si="14">X16-Y16</f>
        <v>-2697.2299999999996</v>
      </c>
      <c r="AA16" s="114"/>
      <c r="AB16" s="113">
        <v>400</v>
      </c>
      <c r="AC16" s="58">
        <f t="shared" ref="AC16:AC21" si="15">AB16/12*10</f>
        <v>333.33333333333337</v>
      </c>
      <c r="AD16" s="114">
        <v>191.58</v>
      </c>
      <c r="AE16" s="61">
        <f t="shared" ref="AE16:AE21" si="16">AC16-AD16</f>
        <v>141.75333333333336</v>
      </c>
      <c r="AG16" s="145"/>
    </row>
    <row r="17" spans="1:37" ht="15.6" x14ac:dyDescent="0.3">
      <c r="A17" s="48" t="s">
        <v>16</v>
      </c>
      <c r="B17" s="56"/>
      <c r="C17" s="56"/>
      <c r="D17" s="57">
        <f t="shared" si="6"/>
        <v>0</v>
      </c>
      <c r="E17" s="346">
        <v>50</v>
      </c>
      <c r="F17" s="393"/>
      <c r="G17" s="48"/>
      <c r="H17" s="57">
        <f t="shared" si="7"/>
        <v>-52.400000000000006</v>
      </c>
      <c r="I17" s="303">
        <v>50</v>
      </c>
      <c r="J17" s="83">
        <f>I17/12*Summary!$H$30</f>
        <v>41.666666666666671</v>
      </c>
      <c r="K17" s="271">
        <v>0</v>
      </c>
      <c r="L17" s="58">
        <f t="shared" si="8"/>
        <v>41.666666666666671</v>
      </c>
      <c r="M17" s="243"/>
      <c r="N17" s="243"/>
      <c r="O17" s="57">
        <f t="shared" si="9"/>
        <v>2.4000000000000057</v>
      </c>
      <c r="P17" s="82">
        <f t="shared" ref="P17:P20" si="17">W17+(W17*$P$35)</f>
        <v>102.4</v>
      </c>
      <c r="Q17" s="58">
        <f t="shared" si="10"/>
        <v>102.4</v>
      </c>
      <c r="R17" s="364">
        <v>0</v>
      </c>
      <c r="S17" s="58">
        <f t="shared" si="11"/>
        <v>102.4</v>
      </c>
      <c r="T17" s="114"/>
      <c r="U17" s="114"/>
      <c r="V17" s="59">
        <f t="shared" si="12"/>
        <v>50</v>
      </c>
      <c r="W17" s="113">
        <v>100</v>
      </c>
      <c r="X17" s="58">
        <f t="shared" si="13"/>
        <v>83.333333333333343</v>
      </c>
      <c r="Y17" s="58">
        <v>23.88</v>
      </c>
      <c r="Z17" s="58">
        <f t="shared" si="14"/>
        <v>59.453333333333347</v>
      </c>
      <c r="AA17" s="114"/>
      <c r="AB17" s="113">
        <v>50</v>
      </c>
      <c r="AC17" s="58">
        <f t="shared" si="15"/>
        <v>41.666666666666671</v>
      </c>
      <c r="AD17" s="114">
        <v>140</v>
      </c>
      <c r="AE17" s="61">
        <f t="shared" si="16"/>
        <v>-98.333333333333329</v>
      </c>
      <c r="AG17" s="35"/>
    </row>
    <row r="18" spans="1:37" ht="15.6" x14ac:dyDescent="0.3">
      <c r="A18" s="48" t="s">
        <v>24</v>
      </c>
      <c r="B18" s="56"/>
      <c r="C18" s="56"/>
      <c r="D18" s="57">
        <f t="shared" si="6"/>
        <v>49</v>
      </c>
      <c r="E18" s="346">
        <v>100</v>
      </c>
      <c r="F18" s="393"/>
      <c r="G18" s="48"/>
      <c r="H18" s="57">
        <f t="shared" si="7"/>
        <v>-0.20000000000000284</v>
      </c>
      <c r="I18" s="303">
        <v>51</v>
      </c>
      <c r="J18" s="83">
        <f>I18/12*Summary!$H$30</f>
        <v>42.5</v>
      </c>
      <c r="K18" s="271">
        <v>120</v>
      </c>
      <c r="L18" s="58">
        <f t="shared" si="8"/>
        <v>-77.5</v>
      </c>
      <c r="M18" s="243"/>
      <c r="N18" s="243"/>
      <c r="O18" s="57">
        <f t="shared" si="9"/>
        <v>1.2000000000000028</v>
      </c>
      <c r="P18" s="82">
        <f t="shared" si="17"/>
        <v>51.2</v>
      </c>
      <c r="Q18" s="58">
        <f t="shared" si="10"/>
        <v>51.2</v>
      </c>
      <c r="R18" s="364">
        <v>50</v>
      </c>
      <c r="S18" s="58">
        <f t="shared" si="11"/>
        <v>1.2000000000000028</v>
      </c>
      <c r="T18" s="114"/>
      <c r="U18" s="114"/>
      <c r="V18" s="59">
        <f t="shared" si="12"/>
        <v>0</v>
      </c>
      <c r="W18" s="113">
        <v>50</v>
      </c>
      <c r="X18" s="58">
        <f t="shared" si="13"/>
        <v>41.666666666666671</v>
      </c>
      <c r="Y18" s="58">
        <v>30</v>
      </c>
      <c r="Z18" s="58">
        <f t="shared" si="14"/>
        <v>11.666666666666671</v>
      </c>
      <c r="AA18" s="114"/>
      <c r="AB18" s="113">
        <v>50</v>
      </c>
      <c r="AC18" s="58">
        <f t="shared" si="15"/>
        <v>41.666666666666671</v>
      </c>
      <c r="AD18" s="114">
        <v>190</v>
      </c>
      <c r="AE18" s="61">
        <f t="shared" si="16"/>
        <v>-148.33333333333331</v>
      </c>
      <c r="AG18" s="35"/>
    </row>
    <row r="19" spans="1:37" ht="15.6" x14ac:dyDescent="0.3">
      <c r="A19" s="48" t="s">
        <v>25</v>
      </c>
      <c r="B19" s="56"/>
      <c r="C19" s="56"/>
      <c r="D19" s="57">
        <f t="shared" si="6"/>
        <v>-250</v>
      </c>
      <c r="E19" s="346">
        <v>250</v>
      </c>
      <c r="F19" s="393"/>
      <c r="G19" s="48"/>
      <c r="H19" s="57">
        <f t="shared" si="7"/>
        <v>448.8</v>
      </c>
      <c r="I19" s="303">
        <v>500</v>
      </c>
      <c r="J19" s="83">
        <f>I19/12*Summary!$H$30</f>
        <v>416.66666666666663</v>
      </c>
      <c r="K19" s="271">
        <v>228</v>
      </c>
      <c r="L19" s="58">
        <f t="shared" si="8"/>
        <v>188.66666666666663</v>
      </c>
      <c r="M19" s="243"/>
      <c r="N19" s="243"/>
      <c r="O19" s="57">
        <f t="shared" si="9"/>
        <v>1.2000000000000028</v>
      </c>
      <c r="P19" s="82">
        <f t="shared" si="17"/>
        <v>51.2</v>
      </c>
      <c r="Q19" s="58">
        <f t="shared" si="10"/>
        <v>51.2</v>
      </c>
      <c r="R19" s="364">
        <v>761</v>
      </c>
      <c r="S19" s="58">
        <f t="shared" si="11"/>
        <v>-709.8</v>
      </c>
      <c r="T19" s="114"/>
      <c r="U19" s="114"/>
      <c r="V19" s="59">
        <f t="shared" si="12"/>
        <v>0</v>
      </c>
      <c r="W19" s="113">
        <v>50</v>
      </c>
      <c r="X19" s="58">
        <f t="shared" si="13"/>
        <v>41.666666666666671</v>
      </c>
      <c r="Y19" s="58">
        <v>111.8</v>
      </c>
      <c r="Z19" s="58">
        <f t="shared" si="14"/>
        <v>-70.133333333333326</v>
      </c>
      <c r="AA19" s="114"/>
      <c r="AB19" s="113">
        <v>50</v>
      </c>
      <c r="AC19" s="58">
        <f t="shared" si="15"/>
        <v>41.666666666666671</v>
      </c>
      <c r="AD19" s="114">
        <v>48</v>
      </c>
      <c r="AE19" s="61">
        <f t="shared" si="16"/>
        <v>-6.3333333333333286</v>
      </c>
    </row>
    <row r="20" spans="1:37" ht="15.6" x14ac:dyDescent="0.3">
      <c r="A20" s="48" t="s">
        <v>12</v>
      </c>
      <c r="B20" s="56"/>
      <c r="C20" s="56"/>
      <c r="D20" s="57">
        <f t="shared" si="6"/>
        <v>-49</v>
      </c>
      <c r="E20" s="346">
        <v>51</v>
      </c>
      <c r="F20" s="393"/>
      <c r="G20" s="48"/>
      <c r="H20" s="57">
        <f t="shared" si="7"/>
        <v>-2.4000000000000057</v>
      </c>
      <c r="I20" s="303">
        <v>100</v>
      </c>
      <c r="J20" s="83">
        <f>I20/12*Summary!$H$30</f>
        <v>83.333333333333343</v>
      </c>
      <c r="K20" s="271">
        <v>0</v>
      </c>
      <c r="L20" s="58">
        <f t="shared" si="8"/>
        <v>83.333333333333343</v>
      </c>
      <c r="M20" s="243"/>
      <c r="N20" s="243"/>
      <c r="O20" s="57">
        <f t="shared" si="9"/>
        <v>2.4000000000000057</v>
      </c>
      <c r="P20" s="82">
        <f t="shared" si="17"/>
        <v>102.4</v>
      </c>
      <c r="Q20" s="58">
        <f t="shared" si="10"/>
        <v>102.4</v>
      </c>
      <c r="R20" s="364">
        <v>188</v>
      </c>
      <c r="S20" s="58">
        <f t="shared" si="11"/>
        <v>-85.6</v>
      </c>
      <c r="T20" s="114"/>
      <c r="U20" s="114"/>
      <c r="V20" s="59">
        <f t="shared" si="12"/>
        <v>47</v>
      </c>
      <c r="W20" s="113">
        <v>100</v>
      </c>
      <c r="X20" s="58">
        <f t="shared" si="13"/>
        <v>83.333333333333343</v>
      </c>
      <c r="Y20" s="58">
        <v>90</v>
      </c>
      <c r="Z20" s="58">
        <f t="shared" si="14"/>
        <v>-6.6666666666666572</v>
      </c>
      <c r="AA20" s="114"/>
      <c r="AB20" s="113">
        <v>53</v>
      </c>
      <c r="AC20" s="58">
        <f t="shared" si="15"/>
        <v>44.166666666666671</v>
      </c>
      <c r="AD20" s="114">
        <v>90</v>
      </c>
      <c r="AE20" s="61">
        <f t="shared" si="16"/>
        <v>-45.833333333333329</v>
      </c>
      <c r="AG20" s="35"/>
    </row>
    <row r="21" spans="1:37" ht="15.6" x14ac:dyDescent="0.3">
      <c r="A21" s="143" t="s">
        <v>107</v>
      </c>
      <c r="D21" s="57">
        <f t="shared" si="6"/>
        <v>0</v>
      </c>
      <c r="E21" s="258"/>
      <c r="F21" s="315"/>
      <c r="G21" s="143"/>
      <c r="H21" s="57">
        <f t="shared" si="7"/>
        <v>0</v>
      </c>
      <c r="J21" s="83">
        <f>I21/12*Summary!$H$30</f>
        <v>0</v>
      </c>
      <c r="K21" s="271">
        <v>0</v>
      </c>
      <c r="L21" s="58">
        <f t="shared" si="8"/>
        <v>0</v>
      </c>
      <c r="O21" s="57">
        <f t="shared" si="9"/>
        <v>0</v>
      </c>
      <c r="P21" s="113">
        <v>0</v>
      </c>
      <c r="Q21" s="58">
        <f t="shared" si="10"/>
        <v>0</v>
      </c>
      <c r="R21" s="364">
        <v>0</v>
      </c>
      <c r="S21" s="58">
        <f t="shared" si="11"/>
        <v>0</v>
      </c>
      <c r="T21" s="114"/>
      <c r="U21" s="114"/>
      <c r="V21" s="59">
        <f t="shared" si="12"/>
        <v>0</v>
      </c>
      <c r="W21" s="113">
        <v>0</v>
      </c>
      <c r="X21" s="58">
        <f t="shared" si="13"/>
        <v>0</v>
      </c>
      <c r="Y21" s="58">
        <v>1013.13</v>
      </c>
      <c r="Z21" s="58">
        <f t="shared" si="14"/>
        <v>-1013.13</v>
      </c>
      <c r="AA21" s="114"/>
      <c r="AB21" s="113">
        <v>0</v>
      </c>
      <c r="AC21" s="58">
        <f t="shared" si="15"/>
        <v>0</v>
      </c>
      <c r="AD21" s="114">
        <v>527.48</v>
      </c>
      <c r="AE21" s="61">
        <f t="shared" si="16"/>
        <v>-527.48</v>
      </c>
      <c r="AG21" s="35"/>
      <c r="AK21" s="46"/>
    </row>
    <row r="22" spans="1:37" ht="15.6" x14ac:dyDescent="0.3">
      <c r="A22" s="143" t="s">
        <v>131</v>
      </c>
      <c r="D22" s="57">
        <f t="shared" si="6"/>
        <v>0</v>
      </c>
      <c r="E22" s="258"/>
      <c r="F22" s="315"/>
      <c r="G22" s="143"/>
      <c r="H22" s="57">
        <f t="shared" si="7"/>
        <v>-64.38095238095238</v>
      </c>
      <c r="I22" s="315">
        <v>0</v>
      </c>
      <c r="J22" s="83">
        <f>I22/12*Summary!$H$30</f>
        <v>0</v>
      </c>
      <c r="K22" s="271">
        <v>0</v>
      </c>
      <c r="L22" s="58">
        <f t="shared" si="8"/>
        <v>0</v>
      </c>
      <c r="O22" s="57">
        <f t="shared" si="9"/>
        <v>64.38095238095238</v>
      </c>
      <c r="P22" s="113">
        <f>Reserves!X15</f>
        <v>64.38095238095238</v>
      </c>
      <c r="Q22" s="58">
        <f t="shared" si="10"/>
        <v>64.38095238095238</v>
      </c>
      <c r="R22" s="364">
        <v>150</v>
      </c>
      <c r="S22" s="58">
        <f t="shared" si="11"/>
        <v>-85.61904761904762</v>
      </c>
      <c r="T22" s="114"/>
      <c r="U22" s="114"/>
      <c r="V22" s="59">
        <f t="shared" si="12"/>
        <v>0</v>
      </c>
      <c r="W22" s="113">
        <v>0</v>
      </c>
      <c r="X22" s="58">
        <f t="shared" si="13"/>
        <v>0</v>
      </c>
      <c r="Y22" s="58">
        <v>0</v>
      </c>
      <c r="Z22" s="58">
        <f t="shared" si="14"/>
        <v>0</v>
      </c>
      <c r="AA22" s="114"/>
      <c r="AB22" s="113">
        <v>0</v>
      </c>
      <c r="AC22" s="58">
        <f t="shared" ref="AC22:AC23" si="18">AB22/12*10</f>
        <v>0</v>
      </c>
      <c r="AD22" s="114"/>
      <c r="AE22" s="61">
        <f t="shared" ref="AE22:AE23" si="19">AC22-AD22</f>
        <v>0</v>
      </c>
      <c r="AG22" s="35"/>
    </row>
    <row r="23" spans="1:37" ht="15.6" x14ac:dyDescent="0.3">
      <c r="A23" s="280" t="s">
        <v>191</v>
      </c>
      <c r="D23" s="57">
        <f t="shared" si="6"/>
        <v>0</v>
      </c>
      <c r="E23" s="258"/>
      <c r="F23" s="315"/>
      <c r="G23" s="280"/>
      <c r="H23" s="57">
        <f t="shared" si="7"/>
        <v>0</v>
      </c>
      <c r="I23" s="315">
        <v>0</v>
      </c>
      <c r="J23" s="83">
        <f>I23/12*Summary!$H$30</f>
        <v>0</v>
      </c>
      <c r="K23" s="271">
        <v>0</v>
      </c>
      <c r="L23" s="58">
        <f t="shared" si="8"/>
        <v>0</v>
      </c>
      <c r="O23" s="57">
        <f t="shared" ref="O23" si="20">P23-W23</f>
        <v>0</v>
      </c>
      <c r="P23" s="113"/>
      <c r="Q23" s="58">
        <f t="shared" si="10"/>
        <v>0</v>
      </c>
      <c r="R23" s="364">
        <v>0</v>
      </c>
      <c r="S23" s="58">
        <f t="shared" ref="S23" si="21">Q23-R23</f>
        <v>0</v>
      </c>
      <c r="T23" s="114"/>
      <c r="U23" s="114"/>
      <c r="V23" s="59">
        <f t="shared" ref="V23" si="22">W23-AB23</f>
        <v>0</v>
      </c>
      <c r="W23" s="113">
        <v>0</v>
      </c>
      <c r="X23" s="58">
        <f t="shared" ref="X23" si="23">W23/12*10</f>
        <v>0</v>
      </c>
      <c r="Y23" s="58">
        <v>0</v>
      </c>
      <c r="Z23" s="58">
        <f t="shared" ref="Z23" si="24">X23-Y23</f>
        <v>0</v>
      </c>
      <c r="AA23" s="114"/>
      <c r="AB23" s="113">
        <v>0</v>
      </c>
      <c r="AC23" s="58">
        <f t="shared" si="18"/>
        <v>0</v>
      </c>
      <c r="AD23" s="114"/>
      <c r="AE23" s="61">
        <f t="shared" si="19"/>
        <v>0</v>
      </c>
      <c r="AG23" s="35"/>
    </row>
    <row r="24" spans="1:37" x14ac:dyDescent="0.3">
      <c r="A24" s="143"/>
      <c r="D24" s="112"/>
      <c r="E24" s="32"/>
      <c r="F24" s="315"/>
      <c r="G24" s="143"/>
      <c r="H24" s="112"/>
      <c r="J24" s="114"/>
      <c r="K24" s="114"/>
      <c r="L24" s="114"/>
      <c r="O24" s="112"/>
      <c r="P24" s="113"/>
      <c r="Q24" s="114"/>
      <c r="R24" s="357"/>
      <c r="S24" s="114"/>
      <c r="T24" s="114"/>
      <c r="U24" s="114"/>
      <c r="V24" s="112"/>
      <c r="W24" s="113"/>
      <c r="X24" s="114"/>
      <c r="Y24" s="114"/>
      <c r="Z24" s="114"/>
      <c r="AA24" s="114"/>
      <c r="AB24" s="113"/>
      <c r="AC24" s="114"/>
      <c r="AD24" s="114"/>
      <c r="AE24" s="114"/>
      <c r="AG24" s="35"/>
    </row>
    <row r="25" spans="1:37" s="129" customFormat="1" ht="15" thickBot="1" x14ac:dyDescent="0.35">
      <c r="A25" s="135" t="s">
        <v>140</v>
      </c>
      <c r="D25" s="136">
        <f>SUM(D15:D24)</f>
        <v>-550</v>
      </c>
      <c r="E25" s="137">
        <f>SUM(E15:E24)</f>
        <v>651</v>
      </c>
      <c r="F25" s="421"/>
      <c r="G25" s="147"/>
      <c r="H25" s="136">
        <f>SUM(H15:H24)</f>
        <v>329.41904761904755</v>
      </c>
      <c r="I25" s="334">
        <f>SUM(I15:I24)</f>
        <v>1201</v>
      </c>
      <c r="J25" s="135">
        <f>SUM(J15:J24)</f>
        <v>1000.8333333333334</v>
      </c>
      <c r="K25" s="135">
        <f>SUM(K15:K24)</f>
        <v>948</v>
      </c>
      <c r="L25" s="135">
        <f>SUM(L15:L24)</f>
        <v>52.833333333333286</v>
      </c>
      <c r="M25" s="252"/>
      <c r="N25" s="252"/>
      <c r="O25" s="136">
        <f>SUM(O15:O24)</f>
        <v>-1228.4190476190474</v>
      </c>
      <c r="P25" s="137">
        <f>SUM(P15:P24)</f>
        <v>871.58095238095245</v>
      </c>
      <c r="Q25" s="135">
        <f>SUM(Q15:Q24)</f>
        <v>871.58095238095245</v>
      </c>
      <c r="R25" s="358">
        <f>SUM(R15:R24)</f>
        <v>2457</v>
      </c>
      <c r="S25" s="135">
        <f>SUM(S15:S24)</f>
        <v>-1585.4190476190474</v>
      </c>
      <c r="T25" s="138"/>
      <c r="U25" s="138"/>
      <c r="V25" s="136">
        <f>SUM(V15:V24)</f>
        <v>1497</v>
      </c>
      <c r="W25" s="137">
        <f>SUM(W15:W24)</f>
        <v>2100</v>
      </c>
      <c r="X25" s="135">
        <f>SUM(X15:X24)</f>
        <v>1750</v>
      </c>
      <c r="Y25" s="135">
        <f>SUM(Y15:Y24)</f>
        <v>5466.04</v>
      </c>
      <c r="Z25" s="135">
        <f>SUM(Z15:Z24)</f>
        <v>-3716.0399999999995</v>
      </c>
      <c r="AA25" s="138"/>
      <c r="AB25" s="137">
        <f>SUM(AB15:AB24)</f>
        <v>603</v>
      </c>
      <c r="AC25" s="135">
        <f>SUM(AC15:AC24)</f>
        <v>502.50000000000011</v>
      </c>
      <c r="AD25" s="135">
        <f>SUM(AD15:AD24)</f>
        <v>1187.06</v>
      </c>
      <c r="AE25" s="135">
        <f>SUM(AE15:AE24)</f>
        <v>-684.56</v>
      </c>
      <c r="AG25" s="43"/>
    </row>
    <row r="26" spans="1:37" x14ac:dyDescent="0.3">
      <c r="A26" s="33"/>
      <c r="D26" s="112"/>
      <c r="E26" s="32"/>
      <c r="F26" s="315"/>
      <c r="G26" s="33"/>
      <c r="H26" s="120"/>
      <c r="J26" s="114"/>
      <c r="K26" s="114"/>
      <c r="L26" s="114"/>
      <c r="O26" s="120"/>
      <c r="P26" s="113"/>
      <c r="Q26" s="114"/>
      <c r="R26" s="357"/>
      <c r="S26" s="114"/>
      <c r="T26" s="114"/>
      <c r="U26" s="114"/>
      <c r="V26" s="112"/>
      <c r="W26" s="121"/>
      <c r="X26" s="114"/>
      <c r="Y26" s="114"/>
      <c r="Z26" s="114"/>
      <c r="AA26" s="114"/>
      <c r="AB26" s="121"/>
      <c r="AC26" s="114"/>
      <c r="AD26" s="122"/>
      <c r="AE26" s="114"/>
      <c r="AG26" s="35"/>
    </row>
    <row r="27" spans="1:37" ht="15.6" x14ac:dyDescent="0.3">
      <c r="A27" s="48" t="s">
        <v>87</v>
      </c>
      <c r="D27" s="57">
        <f>E27-I27</f>
        <v>0</v>
      </c>
      <c r="E27" s="259">
        <f>I27</f>
        <v>670</v>
      </c>
      <c r="F27" s="303"/>
      <c r="G27" s="48"/>
      <c r="H27" s="57">
        <f>I27-P27</f>
        <v>0</v>
      </c>
      <c r="I27" s="276">
        <f>P27</f>
        <v>670</v>
      </c>
      <c r="J27" s="83">
        <f>I27/12*Summary!$H$30</f>
        <v>558.33333333333337</v>
      </c>
      <c r="K27" s="271">
        <v>558</v>
      </c>
      <c r="L27" s="58">
        <f>J27-K27</f>
        <v>0.33333333333337123</v>
      </c>
      <c r="M27" s="240"/>
      <c r="N27" s="240"/>
      <c r="O27" s="57">
        <f>P27-W27</f>
        <v>0</v>
      </c>
      <c r="P27" s="113">
        <v>670</v>
      </c>
      <c r="Q27" s="58">
        <f>P27</f>
        <v>670</v>
      </c>
      <c r="R27" s="364">
        <v>670</v>
      </c>
      <c r="S27" s="58">
        <f>Q27-R27</f>
        <v>0</v>
      </c>
      <c r="T27" s="114"/>
      <c r="U27" s="114"/>
      <c r="V27" s="59">
        <f>W27-AB27</f>
        <v>0</v>
      </c>
      <c r="W27" s="113">
        <v>670</v>
      </c>
      <c r="X27" s="58">
        <f>W27/12*10</f>
        <v>558.33333333333337</v>
      </c>
      <c r="Y27" s="58">
        <v>0</v>
      </c>
      <c r="Z27" s="58">
        <f>X27-Y27</f>
        <v>558.33333333333337</v>
      </c>
      <c r="AA27" s="114"/>
      <c r="AB27" s="113">
        <v>670</v>
      </c>
      <c r="AC27" s="58">
        <f>AB27/12*10</f>
        <v>558.33333333333337</v>
      </c>
      <c r="AD27" s="114">
        <v>0</v>
      </c>
      <c r="AE27" s="61">
        <f>AC27-AD27</f>
        <v>558.33333333333337</v>
      </c>
      <c r="AG27" s="35"/>
    </row>
    <row r="28" spans="1:37" x14ac:dyDescent="0.3">
      <c r="A28" s="48"/>
      <c r="D28" s="112"/>
      <c r="E28" s="32"/>
      <c r="F28" s="315"/>
      <c r="G28" s="48"/>
      <c r="H28" s="112"/>
      <c r="J28" s="114"/>
      <c r="K28" s="114"/>
      <c r="L28" s="114"/>
      <c r="O28" s="112"/>
      <c r="P28" s="113"/>
      <c r="Q28" s="114"/>
      <c r="R28" s="357"/>
      <c r="S28" s="114"/>
      <c r="T28" s="114"/>
      <c r="U28" s="114"/>
      <c r="V28" s="112"/>
      <c r="W28" s="113"/>
      <c r="X28" s="114"/>
      <c r="Y28" s="114"/>
      <c r="Z28" s="114"/>
      <c r="AA28" s="114"/>
      <c r="AB28" s="113"/>
      <c r="AC28" s="114"/>
      <c r="AD28" s="114"/>
      <c r="AE28" s="114"/>
      <c r="AG28" s="35"/>
    </row>
    <row r="29" spans="1:37" s="129" customFormat="1" ht="15" thickBot="1" x14ac:dyDescent="0.35">
      <c r="A29" s="135" t="s">
        <v>138</v>
      </c>
      <c r="D29" s="136">
        <f>D13+D25+D27</f>
        <v>-528</v>
      </c>
      <c r="E29" s="137">
        <f>E13+E25+E27</f>
        <v>2679</v>
      </c>
      <c r="F29" s="421"/>
      <c r="G29" s="147"/>
      <c r="H29" s="136">
        <f>H13+H25+H27</f>
        <v>593.01904761904757</v>
      </c>
      <c r="I29" s="334">
        <f>I13+I25+I27</f>
        <v>3207</v>
      </c>
      <c r="J29" s="135">
        <f>J13+J25+J27</f>
        <v>2672.5000000000005</v>
      </c>
      <c r="K29" s="135">
        <f>K13+K25+K27</f>
        <v>2144</v>
      </c>
      <c r="L29" s="135">
        <f>L13+L25+L27</f>
        <v>528.5</v>
      </c>
      <c r="M29" s="252"/>
      <c r="N29" s="252"/>
      <c r="O29" s="136">
        <f>O13+O25+O27</f>
        <v>-1056.0190476190473</v>
      </c>
      <c r="P29" s="137">
        <f>P13+P25+P27</f>
        <v>2613.9809523809527</v>
      </c>
      <c r="Q29" s="135">
        <f>Q13+Q25+Q27</f>
        <v>2613.9809523809527</v>
      </c>
      <c r="R29" s="358">
        <f>R13+R25+R27</f>
        <v>4381</v>
      </c>
      <c r="S29" s="135">
        <f>S13+S25+S27</f>
        <v>-1767.0190476190473</v>
      </c>
      <c r="T29" s="138"/>
      <c r="U29" s="138"/>
      <c r="V29" s="136">
        <f>V13+V25+V27</f>
        <v>1632</v>
      </c>
      <c r="W29" s="137">
        <f>W13+W25+W27</f>
        <v>3670</v>
      </c>
      <c r="X29" s="135">
        <f>X13+X25+X27</f>
        <v>3058.3333333333335</v>
      </c>
      <c r="Y29" s="135">
        <f>Y13+Y25+Y27</f>
        <v>5886.84</v>
      </c>
      <c r="Z29" s="135">
        <f>Z13+Z25+Z27</f>
        <v>-2828.5066666666658</v>
      </c>
      <c r="AA29" s="138"/>
      <c r="AB29" s="137">
        <f>AB13+AB25+AB27</f>
        <v>2038</v>
      </c>
      <c r="AC29" s="135">
        <f>AC13+AC25+AC27</f>
        <v>1698.3333333333335</v>
      </c>
      <c r="AD29" s="135">
        <f>AD13+AD25+AD27</f>
        <v>1644.6499999999999</v>
      </c>
      <c r="AE29" s="135">
        <f>AE13+AE25+AE27</f>
        <v>53.683333333333508</v>
      </c>
      <c r="AG29" s="146" t="s">
        <v>228</v>
      </c>
    </row>
    <row r="30" spans="1:37" x14ac:dyDescent="0.3">
      <c r="D30" s="112"/>
      <c r="E30" s="32"/>
      <c r="F30" s="315"/>
      <c r="J30" s="114"/>
      <c r="K30" s="114"/>
      <c r="L30" s="114"/>
      <c r="O30" s="120"/>
      <c r="P30" s="113"/>
      <c r="Q30" s="114"/>
      <c r="R30" s="357"/>
      <c r="S30" s="114"/>
      <c r="T30" s="114"/>
      <c r="U30" s="114"/>
      <c r="V30" s="112"/>
      <c r="W30" s="121"/>
      <c r="X30" s="114"/>
      <c r="Y30" s="114"/>
      <c r="Z30" s="114"/>
      <c r="AA30" s="114"/>
      <c r="AB30" s="121"/>
      <c r="AC30" s="114"/>
      <c r="AD30" s="122"/>
      <c r="AE30" s="114"/>
    </row>
    <row r="31" spans="1:37" ht="15.6" x14ac:dyDescent="0.3">
      <c r="A31" s="48" t="s">
        <v>96</v>
      </c>
      <c r="D31" s="57">
        <f>E31-I31</f>
        <v>982</v>
      </c>
      <c r="E31" s="243">
        <f>Reserves!E15</f>
        <v>4000</v>
      </c>
      <c r="F31" s="303"/>
      <c r="G31" s="48"/>
      <c r="H31" s="57">
        <f>I31-P31</f>
        <v>-177</v>
      </c>
      <c r="I31" s="276">
        <v>3018</v>
      </c>
      <c r="J31" s="83">
        <f>I31/12*Summary!$H$30</f>
        <v>2515</v>
      </c>
      <c r="K31" s="371">
        <f>J31</f>
        <v>2515</v>
      </c>
      <c r="L31" s="58">
        <f>J31-K31</f>
        <v>0</v>
      </c>
      <c r="M31" s="240"/>
      <c r="N31" s="240"/>
      <c r="O31" s="57">
        <f>P31-W31</f>
        <v>-355</v>
      </c>
      <c r="P31" s="113">
        <v>3195</v>
      </c>
      <c r="Q31" s="58">
        <f>P31</f>
        <v>3195</v>
      </c>
      <c r="R31" s="348">
        <v>3550</v>
      </c>
      <c r="S31" s="58">
        <f>Q31-R31</f>
        <v>-355</v>
      </c>
      <c r="T31" s="114"/>
      <c r="U31" s="114"/>
      <c r="V31" s="59">
        <f>W31-AB31</f>
        <v>0</v>
      </c>
      <c r="W31" s="113">
        <v>3550</v>
      </c>
      <c r="X31" s="58">
        <f>W31/12*10</f>
        <v>2958.333333333333</v>
      </c>
      <c r="Y31" s="58">
        <v>0</v>
      </c>
      <c r="Z31" s="58">
        <f>X31-Y31</f>
        <v>2958.333333333333</v>
      </c>
      <c r="AA31" s="114"/>
      <c r="AB31" s="113">
        <v>3550</v>
      </c>
      <c r="AC31" s="58">
        <f>AB31/12*10</f>
        <v>2958.333333333333</v>
      </c>
      <c r="AD31" s="114">
        <v>2662.5</v>
      </c>
      <c r="AE31" s="61">
        <f>AC31-AD31</f>
        <v>295.83333333333303</v>
      </c>
    </row>
    <row r="32" spans="1:37" x14ac:dyDescent="0.3">
      <c r="A32" s="48"/>
      <c r="D32" s="112"/>
      <c r="E32" s="32"/>
      <c r="F32" s="315"/>
      <c r="G32" s="48"/>
      <c r="H32" s="112"/>
      <c r="J32" s="114"/>
      <c r="K32" s="114"/>
      <c r="L32" s="114"/>
      <c r="O32" s="112"/>
      <c r="P32" s="113"/>
      <c r="Q32" s="114"/>
      <c r="R32" s="114"/>
      <c r="S32" s="114"/>
      <c r="T32" s="114"/>
      <c r="U32" s="114"/>
      <c r="V32" s="112"/>
      <c r="W32" s="113"/>
      <c r="X32" s="114"/>
      <c r="Y32" s="114"/>
      <c r="Z32" s="114"/>
      <c r="AA32" s="114"/>
      <c r="AB32" s="113"/>
      <c r="AC32" s="114"/>
      <c r="AD32" s="114"/>
      <c r="AE32" s="114"/>
    </row>
    <row r="33" spans="1:34" s="129" customFormat="1" ht="15" thickBot="1" x14ac:dyDescent="0.35">
      <c r="A33" s="135" t="s">
        <v>1</v>
      </c>
      <c r="D33" s="125">
        <f t="shared" ref="D33" si="25">SUM(D29:D32)</f>
        <v>454</v>
      </c>
      <c r="E33" s="126">
        <f t="shared" ref="E33" si="26">SUM(E29:E32)</f>
        <v>6679</v>
      </c>
      <c r="F33" s="422"/>
      <c r="G33" s="147"/>
      <c r="H33" s="125">
        <f t="shared" ref="H33" si="27">SUM(H29:H32)</f>
        <v>416.01904761904757</v>
      </c>
      <c r="I33" s="335">
        <f t="shared" ref="I33:L33" si="28">SUM(I29:I32)</f>
        <v>6225</v>
      </c>
      <c r="J33" s="127">
        <f t="shared" si="28"/>
        <v>5187.5</v>
      </c>
      <c r="K33" s="127">
        <f t="shared" si="28"/>
        <v>4659</v>
      </c>
      <c r="L33" s="127">
        <f t="shared" si="28"/>
        <v>528.5</v>
      </c>
      <c r="M33" s="253"/>
      <c r="N33" s="253"/>
      <c r="O33" s="125">
        <f>SUM(O29:O32)</f>
        <v>-1411.0190476190473</v>
      </c>
      <c r="P33" s="126">
        <f>SUM(P29:P32)</f>
        <v>5808.9809523809527</v>
      </c>
      <c r="Q33" s="127">
        <f t="shared" ref="Q33:S33" si="29">SUM(Q29:Q32)</f>
        <v>5808.9809523809527</v>
      </c>
      <c r="R33" s="127">
        <f t="shared" si="29"/>
        <v>7931</v>
      </c>
      <c r="S33" s="127">
        <f t="shared" si="29"/>
        <v>-2122.0190476190473</v>
      </c>
      <c r="T33" s="138"/>
      <c r="U33" s="138"/>
      <c r="V33" s="125">
        <f t="shared" ref="V33:Z33" si="30">SUM(V29:V32)</f>
        <v>1632</v>
      </c>
      <c r="W33" s="126">
        <f t="shared" si="30"/>
        <v>7220</v>
      </c>
      <c r="X33" s="127">
        <f t="shared" si="30"/>
        <v>6016.6666666666661</v>
      </c>
      <c r="Y33" s="127">
        <f t="shared" si="30"/>
        <v>5886.84</v>
      </c>
      <c r="Z33" s="127">
        <f t="shared" si="30"/>
        <v>129.82666666666728</v>
      </c>
      <c r="AA33" s="138"/>
      <c r="AB33" s="126">
        <f>SUM(AB29:AB32)</f>
        <v>5588</v>
      </c>
      <c r="AC33" s="127">
        <f t="shared" ref="AC33:AE33" si="31">SUM(AC29:AC32)</f>
        <v>4656.6666666666661</v>
      </c>
      <c r="AD33" s="127">
        <f t="shared" si="31"/>
        <v>4307.1499999999996</v>
      </c>
      <c r="AE33" s="127">
        <f t="shared" si="31"/>
        <v>349.51666666666654</v>
      </c>
      <c r="AG33" s="155">
        <f>SUM(B33:AF33)</f>
        <v>75951.609523809529</v>
      </c>
      <c r="AH33" s="156" t="s">
        <v>143</v>
      </c>
    </row>
    <row r="35" spans="1:34" x14ac:dyDescent="0.3">
      <c r="A35" s="233" t="str">
        <f>"* "&amp;Summary!$A$26</f>
        <v>* Inflation Factor, CPI to 16th September, 2020</v>
      </c>
      <c r="B35" s="233"/>
      <c r="C35" s="233"/>
      <c r="D35" s="233"/>
      <c r="E35" s="353">
        <f>Summary!$E$26</f>
        <v>5.0000000000000001E-3</v>
      </c>
      <c r="F35" s="201"/>
      <c r="G35" s="233"/>
      <c r="H35" s="436" t="str">
        <f>Summary!$H$26</f>
        <v>October, 2019</v>
      </c>
      <c r="I35" s="353">
        <f>Summary!$I$26</f>
        <v>1.7000000000000001E-2</v>
      </c>
      <c r="J35" s="311"/>
      <c r="K35" s="311"/>
      <c r="L35" s="311"/>
      <c r="M35" s="241"/>
      <c r="N35" s="241"/>
      <c r="O35" s="436" t="str">
        <f>Summary!$O$26</f>
        <v>October, 2018</v>
      </c>
      <c r="P35" s="353">
        <f>Summary!$P$26</f>
        <v>2.4E-2</v>
      </c>
      <c r="Q35" s="241"/>
    </row>
    <row r="38" spans="1:34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34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34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34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34" x14ac:dyDescent="0.3">
      <c r="A42"/>
      <c r="B42"/>
      <c r="C42"/>
      <c r="D42"/>
      <c r="E42"/>
      <c r="F42"/>
      <c r="G42"/>
      <c r="H42"/>
      <c r="I42"/>
      <c r="J42"/>
      <c r="K42"/>
      <c r="L42"/>
    </row>
    <row r="43" spans="1:34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34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34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34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34" x14ac:dyDescent="0.3">
      <c r="A47"/>
      <c r="B47"/>
      <c r="C47"/>
      <c r="D47"/>
      <c r="E47"/>
      <c r="F47"/>
      <c r="G47"/>
      <c r="H47"/>
      <c r="I47"/>
      <c r="J47"/>
      <c r="K47"/>
      <c r="L47"/>
    </row>
    <row r="48" spans="1:34" x14ac:dyDescent="0.3">
      <c r="A48"/>
      <c r="B48"/>
      <c r="C48"/>
      <c r="D48"/>
      <c r="E48"/>
      <c r="F48"/>
      <c r="G48"/>
      <c r="H48"/>
      <c r="I48"/>
      <c r="J48"/>
      <c r="K48"/>
      <c r="L48"/>
    </row>
    <row r="49" spans="1:15" x14ac:dyDescent="0.3">
      <c r="A49"/>
      <c r="B49"/>
      <c r="C49"/>
      <c r="D49"/>
      <c r="E49"/>
      <c r="F49"/>
      <c r="G49"/>
      <c r="H49"/>
      <c r="I49"/>
      <c r="J49"/>
      <c r="K49"/>
      <c r="L49"/>
    </row>
    <row r="50" spans="1:15" x14ac:dyDescent="0.3">
      <c r="A50"/>
      <c r="B50"/>
      <c r="C50"/>
      <c r="D50"/>
      <c r="E50"/>
      <c r="F50"/>
      <c r="G50"/>
      <c r="H50"/>
      <c r="I50"/>
      <c r="J50"/>
      <c r="K50"/>
      <c r="L50"/>
    </row>
    <row r="51" spans="1:15" ht="30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 s="355"/>
      <c r="N51" s="355"/>
      <c r="O51" s="355"/>
    </row>
    <row r="52" spans="1:15" ht="30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 s="355"/>
      <c r="N52" s="355"/>
      <c r="O52" s="355"/>
    </row>
    <row r="53" spans="1:15" ht="30" customHeight="1" x14ac:dyDescent="0.3">
      <c r="A53"/>
      <c r="B53"/>
      <c r="C53"/>
      <c r="D53"/>
      <c r="E53"/>
      <c r="F53"/>
      <c r="G53"/>
      <c r="H53"/>
      <c r="I53"/>
      <c r="J53"/>
      <c r="K53"/>
      <c r="L53"/>
      <c r="M53" s="355"/>
      <c r="N53" s="355"/>
      <c r="O53" s="355"/>
    </row>
    <row r="54" spans="1:15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5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5" x14ac:dyDescent="0.3">
      <c r="A56"/>
      <c r="B56"/>
      <c r="C56"/>
      <c r="D56"/>
      <c r="E56"/>
      <c r="F56"/>
      <c r="G56"/>
      <c r="H56"/>
      <c r="I56"/>
      <c r="J56"/>
      <c r="K56"/>
      <c r="L56"/>
    </row>
  </sheetData>
  <mergeCells count="17">
    <mergeCell ref="H4:H5"/>
    <mergeCell ref="D3:E3"/>
    <mergeCell ref="D4:D5"/>
    <mergeCell ref="E4:E5"/>
    <mergeCell ref="H3:L3"/>
    <mergeCell ref="I4:J4"/>
    <mergeCell ref="O3:S3"/>
    <mergeCell ref="AB3:AE3"/>
    <mergeCell ref="O4:O5"/>
    <mergeCell ref="V4:V5"/>
    <mergeCell ref="W4:X4"/>
    <mergeCell ref="AB4:AC4"/>
    <mergeCell ref="X5:Z5"/>
    <mergeCell ref="AC5:AE5"/>
    <mergeCell ref="V3:Z3"/>
    <mergeCell ref="P4:Q4"/>
    <mergeCell ref="Q5:S5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7" orientation="landscape" cellComments="asDisplayed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69"/>
  <sheetViews>
    <sheetView showGridLines="0" zoomScale="80" zoomScaleNormal="80" workbookViewId="0">
      <pane ySplit="5" topLeftCell="A27" activePane="bottomLeft" state="frozen"/>
      <selection activeCell="H32" sqref="H32:I32"/>
      <selection pane="bottomLeft" activeCell="H48" sqref="H48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10937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ht="21" x14ac:dyDescent="0.3">
      <c r="A1" s="54" t="s">
        <v>180</v>
      </c>
      <c r="B1" s="51"/>
      <c r="C1" s="51"/>
      <c r="D1" s="54" t="s">
        <v>172</v>
      </c>
      <c r="E1" s="233"/>
      <c r="F1" s="201"/>
      <c r="H1" s="181">
        <v>32</v>
      </c>
      <c r="I1" s="303"/>
      <c r="J1" s="303"/>
      <c r="K1" s="303"/>
      <c r="L1" s="303"/>
      <c r="M1" s="243"/>
      <c r="N1" s="243"/>
      <c r="O1" s="243"/>
      <c r="P1" s="243"/>
      <c r="Q1" s="243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235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x14ac:dyDescent="0.3">
      <c r="A7" s="76" t="s">
        <v>20</v>
      </c>
      <c r="B7" s="76"/>
      <c r="C7" s="76"/>
      <c r="D7" s="76"/>
      <c r="E7" s="76"/>
      <c r="F7" s="420"/>
      <c r="G7" s="76"/>
      <c r="H7" s="76"/>
      <c r="I7" s="314"/>
      <c r="J7" s="314"/>
      <c r="K7" s="76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80" t="s">
        <v>21</v>
      </c>
      <c r="B8" s="80"/>
      <c r="C8" s="80"/>
      <c r="D8" s="81">
        <f>E8-I8</f>
        <v>0</v>
      </c>
      <c r="E8" s="259">
        <v>1842</v>
      </c>
      <c r="F8" s="303"/>
      <c r="G8" s="80"/>
      <c r="H8" s="81">
        <f>I8-P8</f>
        <v>318</v>
      </c>
      <c r="I8" s="303">
        <v>1842</v>
      </c>
      <c r="J8" s="83">
        <f>I8/12*Summary!$H$30</f>
        <v>1535</v>
      </c>
      <c r="K8" s="268">
        <v>1228</v>
      </c>
      <c r="L8" s="83">
        <f>J8-K8</f>
        <v>307</v>
      </c>
      <c r="M8" s="243"/>
      <c r="N8" s="243"/>
      <c r="O8" s="81">
        <f>P8-W8</f>
        <v>124</v>
      </c>
      <c r="P8" s="82">
        <v>1524</v>
      </c>
      <c r="Q8" s="83">
        <f>P8</f>
        <v>1524</v>
      </c>
      <c r="R8" s="348">
        <v>1797</v>
      </c>
      <c r="S8" s="83">
        <f>Q8-R8</f>
        <v>-273</v>
      </c>
      <c r="T8" s="79"/>
      <c r="U8" s="79"/>
      <c r="V8" s="77">
        <f>W8-AB8</f>
        <v>30</v>
      </c>
      <c r="W8" s="82">
        <v>1400</v>
      </c>
      <c r="X8" s="83">
        <f>W8/12*10</f>
        <v>1166.6666666666667</v>
      </c>
      <c r="Y8" s="83">
        <v>960</v>
      </c>
      <c r="Z8" s="83">
        <f>X8-Y8</f>
        <v>206.66666666666674</v>
      </c>
      <c r="AA8" s="79"/>
      <c r="AB8" s="78">
        <v>1370</v>
      </c>
      <c r="AC8" s="83">
        <f>AB8/12*10</f>
        <v>1141.6666666666667</v>
      </c>
      <c r="AD8" s="79">
        <v>1076.3699999999999</v>
      </c>
      <c r="AE8" s="79">
        <f>AC8-AD8</f>
        <v>65.296666666666852</v>
      </c>
      <c r="AF8" s="11"/>
      <c r="AG8" s="73"/>
    </row>
    <row r="9" spans="1:34" x14ac:dyDescent="0.3">
      <c r="A9" s="80" t="s">
        <v>14</v>
      </c>
      <c r="B9" s="80" t="s">
        <v>228</v>
      </c>
      <c r="C9" s="80"/>
      <c r="D9" s="81">
        <f>E9-I9</f>
        <v>0</v>
      </c>
      <c r="E9" s="346">
        <v>510</v>
      </c>
      <c r="F9" s="393"/>
      <c r="G9" s="80"/>
      <c r="H9" s="81">
        <f>I9-P9</f>
        <v>-2</v>
      </c>
      <c r="I9" s="303">
        <v>510</v>
      </c>
      <c r="J9" s="83">
        <f>I9/12*Summary!$H$30</f>
        <v>425</v>
      </c>
      <c r="K9" s="268">
        <v>170</v>
      </c>
      <c r="L9" s="83">
        <f>J9-K9</f>
        <v>255</v>
      </c>
      <c r="M9" s="243"/>
      <c r="N9" s="243"/>
      <c r="O9" s="81">
        <f>P9-W9</f>
        <v>12</v>
      </c>
      <c r="P9" s="82">
        <f>W9+(W9*$P$42)</f>
        <v>512</v>
      </c>
      <c r="Q9" s="83">
        <f t="shared" ref="Q9:Q11" si="0">P9</f>
        <v>512</v>
      </c>
      <c r="R9" s="348">
        <v>450</v>
      </c>
      <c r="S9" s="83">
        <f>Q9-R9</f>
        <v>62</v>
      </c>
      <c r="T9" s="79"/>
      <c r="U9" s="79"/>
      <c r="V9" s="77">
        <f t="shared" ref="V9:V11" si="1">W9-AB9</f>
        <v>0</v>
      </c>
      <c r="W9" s="82">
        <v>500</v>
      </c>
      <c r="X9" s="83">
        <f>W9/12*10</f>
        <v>416.66666666666663</v>
      </c>
      <c r="Y9" s="83">
        <v>450</v>
      </c>
      <c r="Z9" s="83">
        <f>X9-Y9</f>
        <v>-33.333333333333371</v>
      </c>
      <c r="AA9" s="79"/>
      <c r="AB9" s="78">
        <v>500</v>
      </c>
      <c r="AC9" s="83">
        <f>AB9/12*10</f>
        <v>416.66666666666663</v>
      </c>
      <c r="AD9" s="79">
        <v>450</v>
      </c>
      <c r="AE9" s="79">
        <f>AC9-AD9</f>
        <v>-33.333333333333371</v>
      </c>
      <c r="AF9" s="11"/>
      <c r="AG9" s="73"/>
      <c r="AH9" s="17"/>
    </row>
    <row r="10" spans="1:34" ht="16.2" x14ac:dyDescent="0.3">
      <c r="A10" s="80" t="s">
        <v>166</v>
      </c>
      <c r="B10" s="80" t="s">
        <v>228</v>
      </c>
      <c r="C10" s="80"/>
      <c r="D10" s="81">
        <f>E10-I10</f>
        <v>-10</v>
      </c>
      <c r="E10" s="346">
        <v>1800</v>
      </c>
      <c r="F10" s="393"/>
      <c r="G10" s="80"/>
      <c r="H10" s="81">
        <f>I10-P10</f>
        <v>-238</v>
      </c>
      <c r="I10" s="303">
        <v>1810</v>
      </c>
      <c r="J10" s="83">
        <f>I10/12*Summary!$H$30</f>
        <v>1508.3333333333335</v>
      </c>
      <c r="K10" s="268">
        <v>1959</v>
      </c>
      <c r="L10" s="83">
        <f>J10-K10</f>
        <v>-450.66666666666652</v>
      </c>
      <c r="M10" s="243"/>
      <c r="N10" s="243"/>
      <c r="O10" s="81">
        <f>P10-W10</f>
        <v>48</v>
      </c>
      <c r="P10" s="82">
        <f>W10+(W10*$P$42)</f>
        <v>2048</v>
      </c>
      <c r="Q10" s="83">
        <f t="shared" si="0"/>
        <v>2048</v>
      </c>
      <c r="R10" s="348">
        <v>1759</v>
      </c>
      <c r="S10" s="83">
        <f>Q10-R10</f>
        <v>289</v>
      </c>
      <c r="T10" s="79"/>
      <c r="U10" s="79"/>
      <c r="V10" s="77">
        <f t="shared" si="1"/>
        <v>0</v>
      </c>
      <c r="W10" s="82">
        <v>2000</v>
      </c>
      <c r="X10" s="83">
        <f>W10/12*10</f>
        <v>1666.6666666666665</v>
      </c>
      <c r="Y10" s="83">
        <v>2432.3200000000002</v>
      </c>
      <c r="Z10" s="83">
        <f>X10-Y10</f>
        <v>-765.65333333333365</v>
      </c>
      <c r="AA10" s="79"/>
      <c r="AB10" s="78">
        <v>2000</v>
      </c>
      <c r="AC10" s="83">
        <f>AB10/12*10</f>
        <v>1666.6666666666665</v>
      </c>
      <c r="AD10" s="79">
        <v>1570.93</v>
      </c>
      <c r="AE10" s="79">
        <f>AC10-AD10</f>
        <v>95.736666666666451</v>
      </c>
      <c r="AF10" s="11"/>
      <c r="AG10" s="35"/>
    </row>
    <row r="11" spans="1:34" x14ac:dyDescent="0.3">
      <c r="A11" s="80" t="s">
        <v>127</v>
      </c>
      <c r="B11" s="80"/>
      <c r="C11" s="80"/>
      <c r="D11" s="81">
        <f>E11-I11</f>
        <v>0</v>
      </c>
      <c r="E11" s="259">
        <v>672</v>
      </c>
      <c r="F11" s="303"/>
      <c r="G11" s="80"/>
      <c r="H11" s="81">
        <f>I11-P11</f>
        <v>0</v>
      </c>
      <c r="I11" s="303">
        <v>672</v>
      </c>
      <c r="J11" s="83">
        <f>I11/12*Summary!$H$30</f>
        <v>560</v>
      </c>
      <c r="K11" s="268">
        <v>672</v>
      </c>
      <c r="L11" s="83">
        <f>J11-K11</f>
        <v>-112</v>
      </c>
      <c r="M11" s="243"/>
      <c r="N11" s="243"/>
      <c r="O11" s="81">
        <f>P11-W11</f>
        <v>672</v>
      </c>
      <c r="P11" s="82">
        <f>(280+280)*1.2</f>
        <v>672</v>
      </c>
      <c r="Q11" s="83">
        <f t="shared" si="0"/>
        <v>672</v>
      </c>
      <c r="R11" s="348">
        <v>672</v>
      </c>
      <c r="S11" s="83">
        <f>Q11-R11</f>
        <v>0</v>
      </c>
      <c r="T11" s="79"/>
      <c r="U11" s="79"/>
      <c r="V11" s="77">
        <f t="shared" si="1"/>
        <v>0</v>
      </c>
      <c r="W11" s="82">
        <v>0</v>
      </c>
      <c r="X11" s="83">
        <f>W11/12*10</f>
        <v>0</v>
      </c>
      <c r="Y11" s="83">
        <v>0</v>
      </c>
      <c r="Z11" s="83">
        <f>X11-Y11</f>
        <v>0</v>
      </c>
      <c r="AA11" s="79"/>
      <c r="AB11" s="78">
        <v>0</v>
      </c>
      <c r="AC11" s="83">
        <f>AB11/12*10</f>
        <v>0</v>
      </c>
      <c r="AD11" s="79">
        <v>0</v>
      </c>
      <c r="AE11" s="79">
        <f>AC11-AD11</f>
        <v>0</v>
      </c>
      <c r="AF11" s="11"/>
      <c r="AG11" s="233"/>
      <c r="AH11" s="17"/>
    </row>
    <row r="12" spans="1:34" x14ac:dyDescent="0.3">
      <c r="A12" s="80"/>
      <c r="B12" s="80"/>
      <c r="C12" s="80"/>
      <c r="D12" s="81"/>
      <c r="E12" s="243"/>
      <c r="F12" s="303"/>
      <c r="G12" s="80"/>
      <c r="H12" s="81"/>
      <c r="I12" s="303"/>
      <c r="J12" s="83"/>
      <c r="K12" s="83"/>
      <c r="L12" s="83"/>
      <c r="M12" s="243"/>
      <c r="N12" s="243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  <c r="AG12" s="233"/>
    </row>
    <row r="13" spans="1:34" s="129" customFormat="1" ht="15" thickBot="1" x14ac:dyDescent="0.35">
      <c r="A13" s="135" t="s">
        <v>139</v>
      </c>
      <c r="B13" s="76"/>
      <c r="C13" s="76"/>
      <c r="D13" s="85">
        <f>SUM(D7:D12)</f>
        <v>-10</v>
      </c>
      <c r="E13" s="86">
        <f>SUM(E7:E12)</f>
        <v>4824</v>
      </c>
      <c r="F13" s="304"/>
      <c r="G13" s="147"/>
      <c r="H13" s="85">
        <f>SUM(H7:H12)</f>
        <v>78</v>
      </c>
      <c r="I13" s="331">
        <f>SUM(I7:I12)</f>
        <v>4834</v>
      </c>
      <c r="J13" s="88">
        <f t="shared" ref="J13:L13" si="2">SUM(J7:J12)</f>
        <v>4028.3333333333335</v>
      </c>
      <c r="K13" s="88">
        <f t="shared" si="2"/>
        <v>4029</v>
      </c>
      <c r="L13" s="88">
        <f t="shared" si="2"/>
        <v>-0.66666666666651508</v>
      </c>
      <c r="M13" s="100"/>
      <c r="N13" s="100"/>
      <c r="O13" s="85">
        <f>SUM(O7:O12)</f>
        <v>856</v>
      </c>
      <c r="P13" s="86">
        <f>SUM(P7:P12)</f>
        <v>4756</v>
      </c>
      <c r="Q13" s="88">
        <f t="shared" ref="Q13:S13" si="3">SUM(Q7:Q12)</f>
        <v>4756</v>
      </c>
      <c r="R13" s="349">
        <f t="shared" si="3"/>
        <v>4678</v>
      </c>
      <c r="S13" s="88">
        <f t="shared" si="3"/>
        <v>78</v>
      </c>
      <c r="T13" s="87"/>
      <c r="U13" s="87"/>
      <c r="V13" s="85">
        <f t="shared" ref="V13:Z13" si="4">SUM(V7:V12)</f>
        <v>30</v>
      </c>
      <c r="W13" s="86">
        <f t="shared" si="4"/>
        <v>3900</v>
      </c>
      <c r="X13" s="88">
        <f t="shared" si="4"/>
        <v>3250</v>
      </c>
      <c r="Y13" s="88">
        <f t="shared" si="4"/>
        <v>3842.32</v>
      </c>
      <c r="Z13" s="88">
        <f t="shared" si="4"/>
        <v>-592.32000000000028</v>
      </c>
      <c r="AA13" s="87"/>
      <c r="AB13" s="89">
        <f t="shared" ref="AB13:AE13" si="5">SUM(AB7:AB12)</f>
        <v>3870</v>
      </c>
      <c r="AC13" s="88">
        <f t="shared" si="5"/>
        <v>3225</v>
      </c>
      <c r="AD13" s="88">
        <f t="shared" si="5"/>
        <v>3097.3</v>
      </c>
      <c r="AE13" s="88">
        <f t="shared" si="5"/>
        <v>127.69999999999993</v>
      </c>
      <c r="AF13" s="13"/>
      <c r="AG13" s="12"/>
    </row>
    <row r="14" spans="1:34" x14ac:dyDescent="0.3">
      <c r="D14" s="112"/>
      <c r="E14" s="32"/>
      <c r="F14" s="315"/>
      <c r="H14" s="112"/>
      <c r="J14" s="114"/>
      <c r="K14" s="114"/>
      <c r="L14" s="114"/>
      <c r="O14" s="112"/>
      <c r="P14" s="113"/>
      <c r="Q14" s="114"/>
      <c r="R14" s="357"/>
      <c r="S14" s="114"/>
      <c r="T14" s="114"/>
      <c r="U14" s="114"/>
      <c r="V14" s="112"/>
      <c r="W14" s="113"/>
      <c r="X14" s="114"/>
      <c r="Y14" s="114"/>
      <c r="Z14" s="114"/>
      <c r="AA14" s="114"/>
      <c r="AB14" s="113"/>
      <c r="AC14" s="114"/>
      <c r="AD14" s="114"/>
      <c r="AE14" s="114"/>
    </row>
    <row r="15" spans="1:34" x14ac:dyDescent="0.3">
      <c r="A15" s="47" t="s">
        <v>23</v>
      </c>
      <c r="D15" s="112"/>
      <c r="E15" s="32"/>
      <c r="F15" s="315"/>
      <c r="G15" s="47"/>
      <c r="H15" s="112"/>
      <c r="J15" s="114"/>
      <c r="K15" s="114"/>
      <c r="L15" s="114"/>
      <c r="O15" s="112"/>
      <c r="P15" s="113"/>
      <c r="Q15" s="114"/>
      <c r="R15" s="357"/>
      <c r="S15" s="114"/>
      <c r="T15" s="114"/>
      <c r="U15" s="114"/>
      <c r="V15" s="112"/>
      <c r="W15" s="113"/>
      <c r="X15" s="114"/>
      <c r="Y15" s="114"/>
      <c r="Z15" s="114"/>
      <c r="AA15" s="114"/>
      <c r="AB15" s="113"/>
      <c r="AC15" s="114"/>
      <c r="AD15" s="114"/>
      <c r="AE15" s="114"/>
    </row>
    <row r="16" spans="1:34" x14ac:dyDescent="0.3">
      <c r="A16" s="48" t="s">
        <v>22</v>
      </c>
      <c r="B16" s="80" t="s">
        <v>228</v>
      </c>
      <c r="C16" s="80"/>
      <c r="D16" s="81">
        <f t="shared" ref="D16:D23" si="6">E16-I16</f>
        <v>-1036</v>
      </c>
      <c r="E16" s="346">
        <v>500</v>
      </c>
      <c r="F16" s="393"/>
      <c r="G16" s="48"/>
      <c r="H16" s="81">
        <f t="shared" ref="H16:H23" si="7">I16-P16</f>
        <v>0</v>
      </c>
      <c r="I16" s="303">
        <v>1536</v>
      </c>
      <c r="J16" s="83">
        <f>I16/12*Summary!$H$30</f>
        <v>1280</v>
      </c>
      <c r="K16" s="268">
        <v>502</v>
      </c>
      <c r="L16" s="83">
        <f t="shared" ref="L16:L23" si="8">J16-K16</f>
        <v>778</v>
      </c>
      <c r="M16" s="243"/>
      <c r="N16" s="243"/>
      <c r="O16" s="81">
        <f t="shared" ref="O16:O23" si="9">P16-W16</f>
        <v>36</v>
      </c>
      <c r="P16" s="82">
        <f t="shared" ref="P16:P20" si="10">W16+(W16*$P$42)</f>
        <v>1536</v>
      </c>
      <c r="Q16" s="83">
        <f t="shared" ref="Q16:Q23" si="11">P16</f>
        <v>1536</v>
      </c>
      <c r="R16" s="348">
        <v>2134</v>
      </c>
      <c r="S16" s="83">
        <f t="shared" ref="S16:S23" si="12">Q16-R16</f>
        <v>-598</v>
      </c>
      <c r="T16" s="114"/>
      <c r="U16" s="114"/>
      <c r="V16" s="77">
        <f t="shared" ref="V16:V23" si="13">W16-AB16</f>
        <v>0</v>
      </c>
      <c r="W16" s="113">
        <v>1500</v>
      </c>
      <c r="X16" s="83">
        <f t="shared" ref="X16:X23" si="14">W16/12*10</f>
        <v>1250</v>
      </c>
      <c r="Y16" s="83">
        <v>3069.79</v>
      </c>
      <c r="Z16" s="83">
        <f t="shared" ref="Z16:Z23" si="15">X16-Y16</f>
        <v>-1819.79</v>
      </c>
      <c r="AA16" s="114"/>
      <c r="AB16" s="113">
        <v>1500</v>
      </c>
      <c r="AC16" s="83">
        <f t="shared" ref="AC16:AC23" si="16">AB16/12*10</f>
        <v>1250</v>
      </c>
      <c r="AD16" s="114">
        <v>1734.6</v>
      </c>
      <c r="AE16" s="79">
        <f t="shared" ref="AE16:AE23" si="17">AC16-AD16</f>
        <v>-484.59999999999991</v>
      </c>
      <c r="AG16" s="35"/>
    </row>
    <row r="17" spans="1:39" x14ac:dyDescent="0.3">
      <c r="A17" s="48" t="s">
        <v>16</v>
      </c>
      <c r="B17" s="80" t="s">
        <v>228</v>
      </c>
      <c r="C17" s="80"/>
      <c r="D17" s="81">
        <f t="shared" si="6"/>
        <v>0</v>
      </c>
      <c r="E17" s="346">
        <v>100</v>
      </c>
      <c r="F17" s="393"/>
      <c r="G17" s="48"/>
      <c r="H17" s="81">
        <f t="shared" si="7"/>
        <v>-53.599999999999994</v>
      </c>
      <c r="I17" s="303">
        <v>100</v>
      </c>
      <c r="J17" s="83">
        <f>I17/12*Summary!$H$30</f>
        <v>83.333333333333343</v>
      </c>
      <c r="K17" s="268">
        <v>0</v>
      </c>
      <c r="L17" s="83">
        <f t="shared" si="8"/>
        <v>83.333333333333343</v>
      </c>
      <c r="M17" s="243"/>
      <c r="N17" s="243"/>
      <c r="O17" s="81">
        <f t="shared" si="9"/>
        <v>3.5999999999999943</v>
      </c>
      <c r="P17" s="82">
        <f t="shared" si="10"/>
        <v>153.6</v>
      </c>
      <c r="Q17" s="83">
        <f t="shared" si="11"/>
        <v>153.6</v>
      </c>
      <c r="R17" s="348">
        <v>0</v>
      </c>
      <c r="S17" s="83">
        <f t="shared" si="12"/>
        <v>153.6</v>
      </c>
      <c r="T17" s="114"/>
      <c r="U17" s="114"/>
      <c r="V17" s="77">
        <f t="shared" si="13"/>
        <v>0</v>
      </c>
      <c r="W17" s="113">
        <v>150</v>
      </c>
      <c r="X17" s="83">
        <f t="shared" si="14"/>
        <v>125</v>
      </c>
      <c r="Y17" s="83">
        <v>23.88</v>
      </c>
      <c r="Z17" s="83">
        <f t="shared" si="15"/>
        <v>101.12</v>
      </c>
      <c r="AA17" s="114"/>
      <c r="AB17" s="113">
        <v>150</v>
      </c>
      <c r="AC17" s="83">
        <f t="shared" si="16"/>
        <v>125</v>
      </c>
      <c r="AD17" s="114">
        <v>118.97</v>
      </c>
      <c r="AE17" s="79">
        <f t="shared" si="17"/>
        <v>6.0300000000000011</v>
      </c>
    </row>
    <row r="18" spans="1:39" x14ac:dyDescent="0.3">
      <c r="A18" s="48" t="s">
        <v>24</v>
      </c>
      <c r="B18" s="80" t="s">
        <v>228</v>
      </c>
      <c r="C18" s="80"/>
      <c r="D18" s="81">
        <f t="shared" si="6"/>
        <v>-100</v>
      </c>
      <c r="E18" s="346">
        <v>100</v>
      </c>
      <c r="F18" s="393"/>
      <c r="G18" s="48"/>
      <c r="H18" s="81">
        <f t="shared" si="7"/>
        <v>148.80000000000001</v>
      </c>
      <c r="I18" s="303">
        <v>200</v>
      </c>
      <c r="J18" s="83">
        <f>I18/12*Summary!$H$30</f>
        <v>166.66666666666669</v>
      </c>
      <c r="K18" s="268">
        <v>122</v>
      </c>
      <c r="L18" s="83">
        <f t="shared" si="8"/>
        <v>44.666666666666686</v>
      </c>
      <c r="M18" s="243"/>
      <c r="N18" s="243"/>
      <c r="O18" s="81">
        <f t="shared" si="9"/>
        <v>1.2000000000000028</v>
      </c>
      <c r="P18" s="82">
        <f t="shared" si="10"/>
        <v>51.2</v>
      </c>
      <c r="Q18" s="83">
        <f t="shared" si="11"/>
        <v>51.2</v>
      </c>
      <c r="R18" s="348">
        <v>260</v>
      </c>
      <c r="S18" s="83">
        <f t="shared" si="12"/>
        <v>-208.8</v>
      </c>
      <c r="T18" s="114"/>
      <c r="U18" s="114"/>
      <c r="V18" s="77">
        <f t="shared" si="13"/>
        <v>0</v>
      </c>
      <c r="W18" s="113">
        <v>50</v>
      </c>
      <c r="X18" s="83">
        <f t="shared" si="14"/>
        <v>41.666666666666671</v>
      </c>
      <c r="Y18" s="83">
        <v>60</v>
      </c>
      <c r="Z18" s="83">
        <f t="shared" si="15"/>
        <v>-18.333333333333329</v>
      </c>
      <c r="AA18" s="114"/>
      <c r="AB18" s="113">
        <v>50</v>
      </c>
      <c r="AC18" s="83">
        <f t="shared" si="16"/>
        <v>41.666666666666671</v>
      </c>
      <c r="AD18" s="114">
        <v>219</v>
      </c>
      <c r="AE18" s="79">
        <f t="shared" si="17"/>
        <v>-177.33333333333331</v>
      </c>
    </row>
    <row r="19" spans="1:39" x14ac:dyDescent="0.3">
      <c r="A19" s="48" t="s">
        <v>25</v>
      </c>
      <c r="B19" s="80" t="s">
        <v>228</v>
      </c>
      <c r="C19" s="80"/>
      <c r="D19" s="81">
        <f t="shared" si="6"/>
        <v>0</v>
      </c>
      <c r="E19" s="346">
        <v>168</v>
      </c>
      <c r="F19" s="393"/>
      <c r="G19" s="48"/>
      <c r="H19" s="81">
        <f t="shared" si="7"/>
        <v>-36.800000000000011</v>
      </c>
      <c r="I19" s="303">
        <v>168</v>
      </c>
      <c r="J19" s="83">
        <f>I19/12*Summary!$H$30</f>
        <v>140</v>
      </c>
      <c r="K19" s="268">
        <v>1006</v>
      </c>
      <c r="L19" s="83">
        <f t="shared" si="8"/>
        <v>-866</v>
      </c>
      <c r="M19" s="243"/>
      <c r="N19" s="243"/>
      <c r="O19" s="81">
        <f t="shared" si="9"/>
        <v>4.8000000000000114</v>
      </c>
      <c r="P19" s="82">
        <f t="shared" si="10"/>
        <v>204.8</v>
      </c>
      <c r="Q19" s="83">
        <f t="shared" si="11"/>
        <v>204.8</v>
      </c>
      <c r="R19" s="348">
        <v>307</v>
      </c>
      <c r="S19" s="83">
        <f t="shared" si="12"/>
        <v>-102.19999999999999</v>
      </c>
      <c r="T19" s="114"/>
      <c r="U19" s="114"/>
      <c r="V19" s="77">
        <f t="shared" si="13"/>
        <v>0</v>
      </c>
      <c r="W19" s="113">
        <v>200</v>
      </c>
      <c r="X19" s="83">
        <f t="shared" si="14"/>
        <v>166.66666666666669</v>
      </c>
      <c r="Y19" s="83">
        <v>111.8</v>
      </c>
      <c r="Z19" s="83">
        <f t="shared" si="15"/>
        <v>54.866666666666688</v>
      </c>
      <c r="AA19" s="114"/>
      <c r="AB19" s="113">
        <v>200</v>
      </c>
      <c r="AC19" s="83">
        <f t="shared" si="16"/>
        <v>166.66666666666669</v>
      </c>
      <c r="AD19" s="114">
        <v>98</v>
      </c>
      <c r="AE19" s="79">
        <f t="shared" si="17"/>
        <v>68.666666666666686</v>
      </c>
      <c r="AG19" s="35"/>
    </row>
    <row r="20" spans="1:39" x14ac:dyDescent="0.3">
      <c r="A20" s="48" t="s">
        <v>12</v>
      </c>
      <c r="B20" s="80" t="s">
        <v>228</v>
      </c>
      <c r="C20" s="80"/>
      <c r="D20" s="81">
        <f t="shared" si="6"/>
        <v>100</v>
      </c>
      <c r="E20" s="346">
        <v>200</v>
      </c>
      <c r="F20" s="393"/>
      <c r="G20" s="48"/>
      <c r="H20" s="81">
        <f t="shared" si="7"/>
        <v>-2.4000000000000057</v>
      </c>
      <c r="I20" s="303">
        <v>100</v>
      </c>
      <c r="J20" s="83">
        <f>I20/12*Summary!$H$30</f>
        <v>83.333333333333343</v>
      </c>
      <c r="K20" s="268">
        <v>0</v>
      </c>
      <c r="L20" s="83">
        <f t="shared" si="8"/>
        <v>83.333333333333343</v>
      </c>
      <c r="M20" s="243"/>
      <c r="N20" s="243"/>
      <c r="O20" s="81">
        <f t="shared" si="9"/>
        <v>2.4000000000000057</v>
      </c>
      <c r="P20" s="82">
        <f t="shared" si="10"/>
        <v>102.4</v>
      </c>
      <c r="Q20" s="83">
        <f t="shared" si="11"/>
        <v>102.4</v>
      </c>
      <c r="R20" s="348">
        <v>306</v>
      </c>
      <c r="S20" s="83">
        <f t="shared" si="12"/>
        <v>-203.6</v>
      </c>
      <c r="T20" s="114"/>
      <c r="U20" s="114"/>
      <c r="V20" s="77">
        <f t="shared" si="13"/>
        <v>47</v>
      </c>
      <c r="W20" s="113">
        <v>100</v>
      </c>
      <c r="X20" s="83">
        <f t="shared" si="14"/>
        <v>83.333333333333343</v>
      </c>
      <c r="Y20" s="83">
        <v>90</v>
      </c>
      <c r="Z20" s="83">
        <f t="shared" si="15"/>
        <v>-6.6666666666666572</v>
      </c>
      <c r="AA20" s="114"/>
      <c r="AB20" s="113">
        <v>53</v>
      </c>
      <c r="AC20" s="83">
        <f t="shared" si="16"/>
        <v>44.166666666666671</v>
      </c>
      <c r="AD20" s="114">
        <v>214</v>
      </c>
      <c r="AE20" s="79">
        <f t="shared" si="17"/>
        <v>-169.83333333333331</v>
      </c>
      <c r="AG20" s="35"/>
    </row>
    <row r="21" spans="1:39" x14ac:dyDescent="0.3">
      <c r="A21" s="48" t="s">
        <v>111</v>
      </c>
      <c r="B21" s="30" t="s">
        <v>228</v>
      </c>
      <c r="D21" s="81">
        <f t="shared" si="6"/>
        <v>0</v>
      </c>
      <c r="E21" s="258">
        <v>0</v>
      </c>
      <c r="F21" s="315"/>
      <c r="G21" s="48"/>
      <c r="H21" s="81">
        <f t="shared" si="7"/>
        <v>0</v>
      </c>
      <c r="I21" s="315">
        <v>0</v>
      </c>
      <c r="J21" s="83">
        <f>I21/12*Summary!$H$30</f>
        <v>0</v>
      </c>
      <c r="K21" s="268">
        <v>0</v>
      </c>
      <c r="L21" s="83">
        <f t="shared" si="8"/>
        <v>0</v>
      </c>
      <c r="O21" s="81">
        <f t="shared" si="9"/>
        <v>0</v>
      </c>
      <c r="P21" s="113">
        <v>0</v>
      </c>
      <c r="Q21" s="83">
        <f t="shared" si="11"/>
        <v>0</v>
      </c>
      <c r="R21" s="348">
        <v>0</v>
      </c>
      <c r="S21" s="83">
        <f t="shared" si="12"/>
        <v>0</v>
      </c>
      <c r="T21" s="114"/>
      <c r="U21" s="114"/>
      <c r="V21" s="77">
        <f t="shared" si="13"/>
        <v>0</v>
      </c>
      <c r="W21" s="113">
        <v>0</v>
      </c>
      <c r="X21" s="83">
        <f t="shared" si="14"/>
        <v>0</v>
      </c>
      <c r="Y21" s="83">
        <v>0</v>
      </c>
      <c r="Z21" s="83">
        <f t="shared" si="15"/>
        <v>0</v>
      </c>
      <c r="AA21" s="114"/>
      <c r="AB21" s="113">
        <v>0</v>
      </c>
      <c r="AC21" s="83">
        <f t="shared" si="16"/>
        <v>0</v>
      </c>
      <c r="AD21" s="114">
        <v>1158</v>
      </c>
      <c r="AE21" s="79">
        <f t="shared" si="17"/>
        <v>-1158</v>
      </c>
      <c r="AG21" s="35"/>
    </row>
    <row r="22" spans="1:39" x14ac:dyDescent="0.3">
      <c r="A22" s="48" t="s">
        <v>107</v>
      </c>
      <c r="D22" s="81">
        <f t="shared" si="6"/>
        <v>0</v>
      </c>
      <c r="E22" s="258">
        <v>0</v>
      </c>
      <c r="F22" s="315"/>
      <c r="G22" s="48"/>
      <c r="H22" s="81">
        <f t="shared" si="7"/>
        <v>0</v>
      </c>
      <c r="I22" s="315">
        <v>0</v>
      </c>
      <c r="J22" s="83">
        <f>I22/12*Summary!$H$30</f>
        <v>0</v>
      </c>
      <c r="K22" s="268">
        <v>0</v>
      </c>
      <c r="L22" s="83">
        <f t="shared" si="8"/>
        <v>0</v>
      </c>
      <c r="O22" s="81">
        <f t="shared" si="9"/>
        <v>0</v>
      </c>
      <c r="P22" s="113">
        <v>0</v>
      </c>
      <c r="Q22" s="83">
        <f t="shared" si="11"/>
        <v>0</v>
      </c>
      <c r="R22" s="348">
        <v>0</v>
      </c>
      <c r="S22" s="83">
        <f t="shared" si="12"/>
        <v>0</v>
      </c>
      <c r="T22" s="114"/>
      <c r="U22" s="114"/>
      <c r="V22" s="77">
        <f t="shared" si="13"/>
        <v>0</v>
      </c>
      <c r="W22" s="113">
        <v>0</v>
      </c>
      <c r="X22" s="83">
        <f t="shared" si="14"/>
        <v>0</v>
      </c>
      <c r="Y22" s="83">
        <v>0</v>
      </c>
      <c r="Z22" s="83">
        <f t="shared" si="15"/>
        <v>0</v>
      </c>
      <c r="AA22" s="114"/>
      <c r="AB22" s="113">
        <v>0</v>
      </c>
      <c r="AC22" s="83">
        <f t="shared" si="16"/>
        <v>0</v>
      </c>
      <c r="AD22" s="114">
        <v>1333</v>
      </c>
      <c r="AE22" s="79">
        <f t="shared" si="17"/>
        <v>-1333</v>
      </c>
    </row>
    <row r="23" spans="1:39" x14ac:dyDescent="0.3">
      <c r="A23" s="48" t="s">
        <v>128</v>
      </c>
      <c r="D23" s="81">
        <f t="shared" si="6"/>
        <v>0</v>
      </c>
      <c r="E23" s="258">
        <v>0</v>
      </c>
      <c r="F23" s="315"/>
      <c r="G23" s="48"/>
      <c r="H23" s="81">
        <f t="shared" si="7"/>
        <v>-225.33333333333334</v>
      </c>
      <c r="I23" s="315">
        <v>0</v>
      </c>
      <c r="J23" s="83">
        <f>I23/12*Summary!$H$30</f>
        <v>0</v>
      </c>
      <c r="K23" s="268">
        <v>0</v>
      </c>
      <c r="L23" s="83">
        <f t="shared" si="8"/>
        <v>0</v>
      </c>
      <c r="O23" s="81">
        <f t="shared" si="9"/>
        <v>225.33333333333334</v>
      </c>
      <c r="P23" s="113">
        <f>Reserves!X16</f>
        <v>225.33333333333334</v>
      </c>
      <c r="Q23" s="83">
        <f t="shared" si="11"/>
        <v>225.33333333333334</v>
      </c>
      <c r="R23" s="348">
        <v>574</v>
      </c>
      <c r="S23" s="83">
        <f t="shared" si="12"/>
        <v>-348.66666666666663</v>
      </c>
      <c r="T23" s="114"/>
      <c r="U23" s="114"/>
      <c r="V23" s="77">
        <f t="shared" si="13"/>
        <v>0</v>
      </c>
      <c r="W23" s="113">
        <v>0</v>
      </c>
      <c r="X23" s="83">
        <f t="shared" si="14"/>
        <v>0</v>
      </c>
      <c r="Y23" s="83">
        <v>0</v>
      </c>
      <c r="Z23" s="83">
        <f t="shared" si="15"/>
        <v>0</v>
      </c>
      <c r="AA23" s="114"/>
      <c r="AB23" s="113">
        <v>0</v>
      </c>
      <c r="AC23" s="83">
        <f t="shared" si="16"/>
        <v>0</v>
      </c>
      <c r="AD23" s="114">
        <v>0</v>
      </c>
      <c r="AE23" s="79">
        <f t="shared" si="17"/>
        <v>0</v>
      </c>
      <c r="AG23" s="35"/>
    </row>
    <row r="24" spans="1:39" x14ac:dyDescent="0.3">
      <c r="A24" s="48"/>
      <c r="D24" s="81"/>
      <c r="E24" s="32"/>
      <c r="F24" s="315"/>
      <c r="G24" s="48"/>
      <c r="H24" s="81"/>
      <c r="J24" s="83"/>
      <c r="K24" s="83"/>
      <c r="L24" s="83"/>
      <c r="O24" s="81"/>
      <c r="P24" s="113"/>
      <c r="Q24" s="83"/>
      <c r="R24" s="348"/>
      <c r="S24" s="83"/>
      <c r="T24" s="114"/>
      <c r="U24" s="114"/>
      <c r="V24" s="112"/>
      <c r="W24" s="113"/>
      <c r="X24" s="83"/>
      <c r="Y24" s="83"/>
      <c r="Z24" s="83"/>
      <c r="AA24" s="114"/>
      <c r="AB24" s="113"/>
      <c r="AC24" s="114"/>
      <c r="AD24" s="114"/>
      <c r="AE24" s="114"/>
      <c r="AG24" s="35"/>
    </row>
    <row r="25" spans="1:39" s="129" customFormat="1" ht="15" thickBot="1" x14ac:dyDescent="0.35">
      <c r="A25" s="135" t="s">
        <v>140</v>
      </c>
      <c r="D25" s="136">
        <f>SUM(D15:D24)</f>
        <v>-1036</v>
      </c>
      <c r="E25" s="137">
        <f>SUM(E15:E24)</f>
        <v>1068</v>
      </c>
      <c r="F25" s="421"/>
      <c r="G25" s="147"/>
      <c r="H25" s="136">
        <f>SUM(H15:H24)</f>
        <v>-169.33333333333334</v>
      </c>
      <c r="I25" s="334">
        <f>SUM(I15:I24)</f>
        <v>2104</v>
      </c>
      <c r="J25" s="135">
        <f>SUM(J15:J24)</f>
        <v>1753.3333333333333</v>
      </c>
      <c r="K25" s="135">
        <f>SUM(K15:K24)</f>
        <v>1630</v>
      </c>
      <c r="L25" s="135">
        <f>SUM(L15:L24)</f>
        <v>123.33333333333334</v>
      </c>
      <c r="M25" s="252"/>
      <c r="N25" s="252"/>
      <c r="O25" s="136">
        <f>SUM(O15:O24)</f>
        <v>273.33333333333337</v>
      </c>
      <c r="P25" s="137">
        <f>SUM(P15:P24)</f>
        <v>2273.3333333333335</v>
      </c>
      <c r="Q25" s="135">
        <f>SUM(Q15:Q24)</f>
        <v>2273.3333333333335</v>
      </c>
      <c r="R25" s="358">
        <f>SUM(R15:R24)</f>
        <v>3581</v>
      </c>
      <c r="S25" s="135">
        <f>SUM(S15:S24)</f>
        <v>-1307.6666666666667</v>
      </c>
      <c r="T25" s="138"/>
      <c r="U25" s="138"/>
      <c r="V25" s="136">
        <f>SUM(V15:V24)</f>
        <v>47</v>
      </c>
      <c r="W25" s="137">
        <f>SUM(W15:W24)</f>
        <v>2000</v>
      </c>
      <c r="X25" s="135">
        <f>SUM(X15:X24)</f>
        <v>1666.6666666666667</v>
      </c>
      <c r="Y25" s="135">
        <f>SUM(Y15:Y24)</f>
        <v>3355.4700000000003</v>
      </c>
      <c r="Z25" s="135">
        <f>SUM(Z15:Z24)</f>
        <v>-1688.8033333333333</v>
      </c>
      <c r="AA25" s="138"/>
      <c r="AB25" s="137">
        <f>SUM(AB15:AB24)</f>
        <v>1953</v>
      </c>
      <c r="AC25" s="135">
        <f>SUM(AC15:AC24)</f>
        <v>1627.5000000000002</v>
      </c>
      <c r="AD25" s="135">
        <f>SUM(AD15:AD24)</f>
        <v>4875.57</v>
      </c>
      <c r="AE25" s="135">
        <f>SUM(AE15:AE24)</f>
        <v>-3248.0699999999997</v>
      </c>
      <c r="AG25" s="43"/>
    </row>
    <row r="26" spans="1:39" x14ac:dyDescent="0.3">
      <c r="A26" s="147"/>
      <c r="D26" s="112"/>
      <c r="E26" s="32"/>
      <c r="F26" s="315"/>
      <c r="G26" s="147"/>
      <c r="H26" s="112"/>
      <c r="J26" s="114"/>
      <c r="K26" s="114"/>
      <c r="L26" s="114"/>
      <c r="O26" s="112"/>
      <c r="P26" s="121"/>
      <c r="Q26" s="114"/>
      <c r="R26" s="357"/>
      <c r="S26" s="114"/>
      <c r="T26" s="114"/>
      <c r="U26" s="114"/>
      <c r="V26" s="112"/>
      <c r="W26" s="121"/>
      <c r="X26" s="114"/>
      <c r="Y26" s="114"/>
      <c r="Z26" s="114"/>
      <c r="AA26" s="114"/>
      <c r="AB26" s="121"/>
      <c r="AC26" s="114"/>
      <c r="AD26" s="122"/>
      <c r="AE26" s="114"/>
      <c r="AG26" s="35"/>
    </row>
    <row r="27" spans="1:39" x14ac:dyDescent="0.3">
      <c r="A27" s="47" t="s">
        <v>26</v>
      </c>
      <c r="D27" s="112"/>
      <c r="E27" s="32"/>
      <c r="F27" s="315"/>
      <c r="G27" s="47"/>
      <c r="H27" s="112"/>
      <c r="J27" s="114"/>
      <c r="K27" s="114"/>
      <c r="L27" s="114"/>
      <c r="O27" s="112"/>
      <c r="P27" s="113"/>
      <c r="Q27" s="114"/>
      <c r="R27" s="357"/>
      <c r="S27" s="114"/>
      <c r="T27" s="114"/>
      <c r="U27" s="114"/>
      <c r="V27" s="112"/>
      <c r="W27" s="113"/>
      <c r="X27" s="114"/>
      <c r="Y27" s="114"/>
      <c r="Z27" s="114"/>
      <c r="AA27" s="114"/>
      <c r="AB27" s="113"/>
      <c r="AC27" s="114"/>
      <c r="AD27" s="114"/>
      <c r="AE27" s="114"/>
      <c r="AG27" s="35"/>
    </row>
    <row r="28" spans="1:39" x14ac:dyDescent="0.3">
      <c r="A28" s="48" t="s">
        <v>18</v>
      </c>
      <c r="D28" s="81">
        <f>E28-I28</f>
        <v>0</v>
      </c>
      <c r="E28" s="258">
        <v>5500</v>
      </c>
      <c r="F28" s="315"/>
      <c r="G28" s="48"/>
      <c r="H28" s="81">
        <f>I28-P28</f>
        <v>2700</v>
      </c>
      <c r="I28" s="315">
        <v>5500</v>
      </c>
      <c r="J28" s="83">
        <f>I28/12*Summary!$H$30</f>
        <v>4583.333333333333</v>
      </c>
      <c r="K28" s="270">
        <v>4608</v>
      </c>
      <c r="L28" s="83">
        <f t="shared" ref="L28:L30" si="18">J28-K28</f>
        <v>-24.66666666666697</v>
      </c>
      <c r="O28" s="81">
        <f>P28-W28</f>
        <v>518.30000000000018</v>
      </c>
      <c r="P28" s="113">
        <v>2800</v>
      </c>
      <c r="Q28" s="83">
        <f t="shared" ref="Q28:Q30" si="19">P28</f>
        <v>2800</v>
      </c>
      <c r="R28" s="357">
        <v>2266</v>
      </c>
      <c r="S28" s="83">
        <f t="shared" ref="S28:S30" si="20">Q28-R28</f>
        <v>534</v>
      </c>
      <c r="T28" s="114"/>
      <c r="U28" s="114"/>
      <c r="V28" s="77">
        <f t="shared" ref="V28:V30" si="21">W28-AB28</f>
        <v>281.69999999999982</v>
      </c>
      <c r="W28" s="113">
        <v>2281.6999999999998</v>
      </c>
      <c r="X28" s="83">
        <f t="shared" ref="X28:X30" si="22">W28/12*10</f>
        <v>1901.4166666666665</v>
      </c>
      <c r="Y28" s="114">
        <v>2147.06</v>
      </c>
      <c r="Z28" s="83">
        <f t="shared" ref="Z28:Z30" si="23">X28-Y28</f>
        <v>-245.64333333333343</v>
      </c>
      <c r="AA28" s="114"/>
      <c r="AB28" s="113">
        <v>2000</v>
      </c>
      <c r="AC28" s="83">
        <f t="shared" ref="AC28:AC30" si="24">AB28/12*10</f>
        <v>1666.6666666666665</v>
      </c>
      <c r="AD28" s="114">
        <v>2368.88</v>
      </c>
      <c r="AE28" s="79">
        <f t="shared" ref="AE28:AE30" si="25">AC28-AD28</f>
        <v>-702.21333333333359</v>
      </c>
      <c r="AG28" s="35"/>
      <c r="AM28" s="46"/>
    </row>
    <row r="29" spans="1:39" x14ac:dyDescent="0.3">
      <c r="A29" s="48" t="s">
        <v>92</v>
      </c>
      <c r="D29" s="81">
        <f>E29-I29</f>
        <v>25</v>
      </c>
      <c r="E29" s="258">
        <v>673</v>
      </c>
      <c r="F29" s="315"/>
      <c r="G29" s="48"/>
      <c r="H29" s="81">
        <f>I29-P29</f>
        <v>-102</v>
      </c>
      <c r="I29" s="315">
        <v>648</v>
      </c>
      <c r="J29" s="83">
        <f>I29/12*Summary!$H$30</f>
        <v>540</v>
      </c>
      <c r="K29" s="270">
        <v>647.19000000000005</v>
      </c>
      <c r="L29" s="83">
        <f t="shared" si="18"/>
        <v>-107.19000000000005</v>
      </c>
      <c r="O29" s="81">
        <f>P29-W29</f>
        <v>70</v>
      </c>
      <c r="P29" s="113">
        <v>750</v>
      </c>
      <c r="Q29" s="83">
        <f t="shared" si="19"/>
        <v>750</v>
      </c>
      <c r="R29" s="357">
        <v>0</v>
      </c>
      <c r="S29" s="83">
        <f t="shared" si="20"/>
        <v>750</v>
      </c>
      <c r="T29" s="114"/>
      <c r="U29" s="114"/>
      <c r="V29" s="77">
        <f t="shared" si="21"/>
        <v>74</v>
      </c>
      <c r="W29" s="113">
        <v>680</v>
      </c>
      <c r="X29" s="83">
        <f t="shared" si="22"/>
        <v>566.66666666666663</v>
      </c>
      <c r="Y29" s="114">
        <v>0</v>
      </c>
      <c r="Z29" s="83">
        <f t="shared" si="23"/>
        <v>566.66666666666663</v>
      </c>
      <c r="AA29" s="114"/>
      <c r="AB29" s="113">
        <v>606</v>
      </c>
      <c r="AC29" s="83">
        <f t="shared" si="24"/>
        <v>505</v>
      </c>
      <c r="AD29" s="114">
        <v>710.9</v>
      </c>
      <c r="AE29" s="79">
        <f t="shared" si="25"/>
        <v>-205.89999999999998</v>
      </c>
      <c r="AG29" s="162" t="s">
        <v>228</v>
      </c>
    </row>
    <row r="30" spans="1:39" x14ac:dyDescent="0.3">
      <c r="A30" s="48" t="s">
        <v>43</v>
      </c>
      <c r="D30" s="81">
        <f>E30-I30</f>
        <v>10</v>
      </c>
      <c r="E30" s="258">
        <v>460</v>
      </c>
      <c r="F30" s="315"/>
      <c r="G30" s="48"/>
      <c r="I30" s="315">
        <v>450</v>
      </c>
      <c r="J30" s="83">
        <f>I30/12*Summary!$H$30</f>
        <v>375</v>
      </c>
      <c r="K30" s="270">
        <v>447</v>
      </c>
      <c r="L30" s="83">
        <f t="shared" si="18"/>
        <v>-72</v>
      </c>
      <c r="O30" s="81">
        <f>P30-W30</f>
        <v>38.300000000000011</v>
      </c>
      <c r="P30" s="113">
        <v>450</v>
      </c>
      <c r="Q30" s="83">
        <f t="shared" si="19"/>
        <v>450</v>
      </c>
      <c r="R30" s="357">
        <v>448</v>
      </c>
      <c r="S30" s="83">
        <f t="shared" si="20"/>
        <v>2</v>
      </c>
      <c r="T30" s="114"/>
      <c r="U30" s="114"/>
      <c r="V30" s="77">
        <f t="shared" si="21"/>
        <v>11.699999999999989</v>
      </c>
      <c r="W30" s="113">
        <v>411.7</v>
      </c>
      <c r="X30" s="83">
        <f t="shared" si="22"/>
        <v>343.08333333333331</v>
      </c>
      <c r="Y30" s="114">
        <v>446.38</v>
      </c>
      <c r="Z30" s="83">
        <f t="shared" si="23"/>
        <v>-103.29666666666668</v>
      </c>
      <c r="AA30" s="114"/>
      <c r="AB30" s="113">
        <v>400</v>
      </c>
      <c r="AC30" s="83">
        <f t="shared" si="24"/>
        <v>333.33333333333337</v>
      </c>
      <c r="AD30" s="114">
        <v>446.83</v>
      </c>
      <c r="AE30" s="79">
        <f t="shared" si="25"/>
        <v>-113.49666666666661</v>
      </c>
    </row>
    <row r="31" spans="1:39" x14ac:dyDescent="0.3">
      <c r="A31" s="48"/>
      <c r="D31" s="112"/>
      <c r="E31" s="32"/>
      <c r="F31" s="315"/>
      <c r="G31" s="48"/>
      <c r="H31" s="112"/>
      <c r="J31" s="114"/>
      <c r="K31" s="114"/>
      <c r="L31" s="114"/>
      <c r="O31" s="112"/>
      <c r="P31" s="113"/>
      <c r="Q31" s="114"/>
      <c r="R31" s="357"/>
      <c r="S31" s="114"/>
      <c r="T31" s="114"/>
      <c r="U31" s="114"/>
      <c r="V31" s="112"/>
      <c r="W31" s="113"/>
      <c r="X31" s="114"/>
      <c r="Y31" s="114"/>
      <c r="Z31" s="114"/>
      <c r="AA31" s="114"/>
      <c r="AB31" s="113"/>
      <c r="AC31" s="114"/>
      <c r="AD31" s="114"/>
      <c r="AE31" s="114"/>
      <c r="AG31" s="35"/>
    </row>
    <row r="32" spans="1:39" s="129" customFormat="1" ht="15" thickBot="1" x14ac:dyDescent="0.35">
      <c r="A32" s="135" t="s">
        <v>142</v>
      </c>
      <c r="D32" s="136">
        <f t="shared" ref="D32:E32" si="26">SUM(D27:D31)</f>
        <v>35</v>
      </c>
      <c r="E32" s="137">
        <f t="shared" si="26"/>
        <v>6633</v>
      </c>
      <c r="F32" s="421"/>
      <c r="G32" s="147"/>
      <c r="H32" s="136">
        <f t="shared" ref="H32" si="27">SUM(H27:H31)</f>
        <v>2598</v>
      </c>
      <c r="I32" s="334">
        <f t="shared" ref="I32:L32" si="28">SUM(I27:I31)</f>
        <v>6598</v>
      </c>
      <c r="J32" s="135">
        <f t="shared" si="28"/>
        <v>5498.333333333333</v>
      </c>
      <c r="K32" s="135">
        <f t="shared" si="28"/>
        <v>5702.1900000000005</v>
      </c>
      <c r="L32" s="135">
        <f t="shared" si="28"/>
        <v>-203.85666666666702</v>
      </c>
      <c r="M32" s="252"/>
      <c r="N32" s="252"/>
      <c r="O32" s="136">
        <f>SUM(O27:O31)</f>
        <v>626.60000000000014</v>
      </c>
      <c r="P32" s="137">
        <f>SUM(P27:P31)</f>
        <v>4000</v>
      </c>
      <c r="Q32" s="135">
        <f t="shared" ref="Q32:S32" si="29">SUM(Q27:Q31)</f>
        <v>4000</v>
      </c>
      <c r="R32" s="358">
        <f t="shared" si="29"/>
        <v>2714</v>
      </c>
      <c r="S32" s="135">
        <f t="shared" si="29"/>
        <v>1286</v>
      </c>
      <c r="T32" s="138"/>
      <c r="U32" s="138"/>
      <c r="V32" s="136">
        <f t="shared" ref="V32:Z32" si="30">SUM(V27:V31)</f>
        <v>367.39999999999981</v>
      </c>
      <c r="W32" s="137">
        <f t="shared" si="30"/>
        <v>3373.3999999999996</v>
      </c>
      <c r="X32" s="135">
        <f t="shared" si="30"/>
        <v>2811.1666666666665</v>
      </c>
      <c r="Y32" s="135">
        <f t="shared" si="30"/>
        <v>2593.44</v>
      </c>
      <c r="Z32" s="135">
        <f t="shared" si="30"/>
        <v>217.72666666666652</v>
      </c>
      <c r="AA32" s="138"/>
      <c r="AB32" s="137">
        <f>SUM(AB27:AB31)</f>
        <v>3006</v>
      </c>
      <c r="AC32" s="135">
        <f t="shared" ref="AC32:AE32" si="31">SUM(AC27:AC31)</f>
        <v>2505</v>
      </c>
      <c r="AD32" s="135">
        <f t="shared" si="31"/>
        <v>3526.61</v>
      </c>
      <c r="AE32" s="135">
        <f t="shared" si="31"/>
        <v>-1021.6100000000001</v>
      </c>
      <c r="AG32" s="43"/>
    </row>
    <row r="33" spans="1:34" x14ac:dyDescent="0.3">
      <c r="A33" s="33"/>
      <c r="D33" s="112"/>
      <c r="E33" s="32"/>
      <c r="F33" s="315"/>
      <c r="G33" s="33"/>
      <c r="H33" s="112"/>
      <c r="J33" s="114"/>
      <c r="K33" s="114"/>
      <c r="L33" s="114"/>
      <c r="O33" s="112"/>
      <c r="P33" s="121"/>
      <c r="Q33" s="114"/>
      <c r="R33" s="357"/>
      <c r="S33" s="114"/>
      <c r="T33" s="114"/>
      <c r="U33" s="114"/>
      <c r="V33" s="112"/>
      <c r="W33" s="121"/>
      <c r="X33" s="114"/>
      <c r="Y33" s="114"/>
      <c r="Z33" s="114"/>
      <c r="AA33" s="114"/>
      <c r="AB33" s="121"/>
      <c r="AC33" s="114"/>
      <c r="AD33" s="122"/>
      <c r="AE33" s="114"/>
      <c r="AG33" s="35"/>
    </row>
    <row r="34" spans="1:34" x14ac:dyDescent="0.3">
      <c r="A34" s="48" t="s">
        <v>87</v>
      </c>
      <c r="D34" s="81">
        <f>E34-I34</f>
        <v>0</v>
      </c>
      <c r="E34" s="259">
        <f>I34</f>
        <v>1800</v>
      </c>
      <c r="F34" s="303"/>
      <c r="G34" s="48"/>
      <c r="H34" s="81">
        <f>I34-P34</f>
        <v>0</v>
      </c>
      <c r="I34" s="276">
        <f>P34</f>
        <v>1800</v>
      </c>
      <c r="J34" s="83">
        <f>I34/12*Summary!$H$30</f>
        <v>1500</v>
      </c>
      <c r="K34" s="270">
        <v>1500</v>
      </c>
      <c r="L34" s="83">
        <f t="shared" ref="L34" si="32">J34-K34</f>
        <v>0</v>
      </c>
      <c r="M34" s="240"/>
      <c r="N34" s="240"/>
      <c r="O34" s="81">
        <f>P34-W34</f>
        <v>0</v>
      </c>
      <c r="P34" s="113">
        <v>1800</v>
      </c>
      <c r="Q34" s="83">
        <f>P34</f>
        <v>1800</v>
      </c>
      <c r="R34" s="357">
        <v>1800</v>
      </c>
      <c r="S34" s="83">
        <f t="shared" ref="S34" si="33">Q34-R34</f>
        <v>0</v>
      </c>
      <c r="T34" s="114"/>
      <c r="U34" s="114"/>
      <c r="V34" s="77">
        <f t="shared" ref="V34" si="34">W34-AB34</f>
        <v>0</v>
      </c>
      <c r="W34" s="113">
        <v>1800</v>
      </c>
      <c r="X34" s="83">
        <f t="shared" ref="X34" si="35">W34/12*10</f>
        <v>1500</v>
      </c>
      <c r="Y34" s="114">
        <v>0</v>
      </c>
      <c r="Z34" s="83">
        <f t="shared" ref="Z34" si="36">X34-Y34</f>
        <v>1500</v>
      </c>
      <c r="AA34" s="114"/>
      <c r="AB34" s="113">
        <v>1800</v>
      </c>
      <c r="AC34" s="83">
        <f>AB34/12*10</f>
        <v>1500</v>
      </c>
      <c r="AD34" s="114">
        <v>0</v>
      </c>
      <c r="AE34" s="79">
        <f>AC34-AD34</f>
        <v>1500</v>
      </c>
      <c r="AG34" s="35"/>
    </row>
    <row r="35" spans="1:34" x14ac:dyDescent="0.3">
      <c r="A35" s="48"/>
      <c r="D35" s="112"/>
      <c r="E35" s="32"/>
      <c r="F35" s="315"/>
      <c r="G35" s="48"/>
      <c r="H35" s="112"/>
      <c r="J35" s="114"/>
      <c r="K35" s="114"/>
      <c r="L35" s="114"/>
      <c r="O35" s="112"/>
      <c r="P35" s="113"/>
      <c r="Q35" s="114"/>
      <c r="R35" s="357"/>
      <c r="S35" s="114"/>
      <c r="T35" s="114"/>
      <c r="U35" s="114"/>
      <c r="V35" s="112"/>
      <c r="W35" s="113"/>
      <c r="X35" s="114"/>
      <c r="Y35" s="114"/>
      <c r="Z35" s="114"/>
      <c r="AA35" s="114"/>
      <c r="AB35" s="113"/>
      <c r="AC35" s="114"/>
      <c r="AD35" s="114"/>
      <c r="AE35" s="114"/>
      <c r="AG35" s="35"/>
    </row>
    <row r="36" spans="1:34" s="129" customFormat="1" ht="15" thickBot="1" x14ac:dyDescent="0.35">
      <c r="A36" s="135" t="s">
        <v>138</v>
      </c>
      <c r="D36" s="136">
        <f>D13+D25+D32+D34</f>
        <v>-1011</v>
      </c>
      <c r="E36" s="137">
        <f>E13+E25+E32+E34</f>
        <v>14325</v>
      </c>
      <c r="F36" s="421"/>
      <c r="G36" s="147"/>
      <c r="H36" s="136">
        <f>H13+H25+H32+H34</f>
        <v>2506.6666666666665</v>
      </c>
      <c r="I36" s="334">
        <f>I13+I25+I32+I34</f>
        <v>15336</v>
      </c>
      <c r="J36" s="135">
        <f>J13+J25+J32+J34</f>
        <v>12780</v>
      </c>
      <c r="K36" s="135">
        <f>K13+K25+K32+K34</f>
        <v>12861.19</v>
      </c>
      <c r="L36" s="135">
        <f>L13+L25+L32+L34</f>
        <v>-81.190000000000197</v>
      </c>
      <c r="M36" s="252"/>
      <c r="N36" s="252"/>
      <c r="O36" s="136">
        <f>O13+O25+O32+O34</f>
        <v>1755.9333333333336</v>
      </c>
      <c r="P36" s="137">
        <f>P13+P25+P32+P34</f>
        <v>12829.333333333334</v>
      </c>
      <c r="Q36" s="135">
        <f>Q13+Q25+Q32+Q34</f>
        <v>12829.333333333334</v>
      </c>
      <c r="R36" s="358">
        <f>R13+R25+R32+R34</f>
        <v>12773</v>
      </c>
      <c r="S36" s="135">
        <f>S13+S25+S32+S34</f>
        <v>56.333333333333258</v>
      </c>
      <c r="T36" s="138"/>
      <c r="U36" s="138"/>
      <c r="V36" s="136">
        <f>V13+V25+V32+V34</f>
        <v>444.39999999999981</v>
      </c>
      <c r="W36" s="137">
        <f>W13+W25+W32+W34</f>
        <v>11073.4</v>
      </c>
      <c r="X36" s="135">
        <f>X13+X25+X32+X34</f>
        <v>9227.8333333333339</v>
      </c>
      <c r="Y36" s="135">
        <f>Y13+Y25+Y32+Y34</f>
        <v>9791.2300000000014</v>
      </c>
      <c r="Z36" s="135">
        <f>Z13+Z25+Z32+Z34</f>
        <v>-563.39666666666699</v>
      </c>
      <c r="AA36" s="138"/>
      <c r="AB36" s="137">
        <f>AB13+AB25+AB32+AB34</f>
        <v>10629</v>
      </c>
      <c r="AC36" s="135">
        <f>AC13+AC25+AC32+AC34</f>
        <v>8857.5</v>
      </c>
      <c r="AD36" s="135">
        <f>AD13+AD25+AD32+AD34</f>
        <v>11499.48</v>
      </c>
      <c r="AE36" s="135">
        <f>AE13+AE25+AE32+AE34</f>
        <v>-2641.9799999999996</v>
      </c>
      <c r="AG36" s="43"/>
    </row>
    <row r="37" spans="1:34" x14ac:dyDescent="0.3">
      <c r="D37" s="112"/>
      <c r="E37" s="32"/>
      <c r="F37" s="315"/>
      <c r="H37" s="112"/>
      <c r="J37" s="114"/>
      <c r="K37" s="114"/>
      <c r="L37" s="114"/>
      <c r="O37" s="112"/>
      <c r="P37" s="121"/>
      <c r="Q37" s="114"/>
      <c r="R37" s="357"/>
      <c r="S37" s="114"/>
      <c r="T37" s="114"/>
      <c r="U37" s="114"/>
      <c r="V37" s="112"/>
      <c r="W37" s="121"/>
      <c r="X37" s="114"/>
      <c r="Y37" s="114"/>
      <c r="Z37" s="114"/>
      <c r="AA37" s="114"/>
      <c r="AB37" s="121"/>
      <c r="AC37" s="114"/>
      <c r="AD37" s="122"/>
      <c r="AE37" s="114"/>
      <c r="AG37" s="35"/>
    </row>
    <row r="38" spans="1:34" ht="15.6" x14ac:dyDescent="0.3">
      <c r="A38" s="48" t="s">
        <v>96</v>
      </c>
      <c r="D38" s="81">
        <f>E38-I38</f>
        <v>925</v>
      </c>
      <c r="E38" s="243">
        <f>Reserves!E16</f>
        <v>9000</v>
      </c>
      <c r="F38" s="303"/>
      <c r="G38" s="48"/>
      <c r="H38" s="81">
        <f>I38-P38</f>
        <v>-475</v>
      </c>
      <c r="I38" s="276">
        <v>8075</v>
      </c>
      <c r="J38" s="83">
        <f>I38/12*Summary!$H$30</f>
        <v>6729.1666666666661</v>
      </c>
      <c r="K38" s="371">
        <f>J38</f>
        <v>6729.1666666666661</v>
      </c>
      <c r="L38" s="83">
        <f t="shared" ref="L38" si="37">J38-K38</f>
        <v>0</v>
      </c>
      <c r="M38" s="240"/>
      <c r="N38" s="240"/>
      <c r="O38" s="81">
        <f>P38-W38</f>
        <v>-950</v>
      </c>
      <c r="P38" s="113">
        <v>8550</v>
      </c>
      <c r="Q38" s="83">
        <f>P38</f>
        <v>8550</v>
      </c>
      <c r="R38" s="357">
        <v>8550</v>
      </c>
      <c r="S38" s="83">
        <f t="shared" ref="S38" si="38">Q38-R38</f>
        <v>0</v>
      </c>
      <c r="T38" s="114"/>
      <c r="U38" s="114"/>
      <c r="V38" s="77">
        <f t="shared" ref="V38" si="39">W38-AB38</f>
        <v>0</v>
      </c>
      <c r="W38" s="113">
        <v>9500</v>
      </c>
      <c r="X38" s="83">
        <f t="shared" ref="X38" si="40">W38/12*10</f>
        <v>7916.6666666666661</v>
      </c>
      <c r="Y38" s="114">
        <v>0</v>
      </c>
      <c r="Z38" s="83">
        <f t="shared" ref="Z38" si="41">X38-Y38</f>
        <v>7916.6666666666661</v>
      </c>
      <c r="AA38" s="114"/>
      <c r="AB38" s="113">
        <v>9500</v>
      </c>
      <c r="AC38" s="83">
        <f>AB38/12*10</f>
        <v>7916.6666666666661</v>
      </c>
      <c r="AD38" s="114">
        <v>6750</v>
      </c>
      <c r="AE38" s="79">
        <f>AC38-AD38</f>
        <v>1166.6666666666661</v>
      </c>
      <c r="AG38" s="49" t="s">
        <v>228</v>
      </c>
    </row>
    <row r="39" spans="1:34" x14ac:dyDescent="0.3">
      <c r="A39" s="48"/>
      <c r="D39" s="112"/>
      <c r="E39" s="32"/>
      <c r="F39" s="315"/>
      <c r="G39" s="48"/>
      <c r="H39" s="112"/>
      <c r="J39" s="114"/>
      <c r="K39" s="114"/>
      <c r="L39" s="114"/>
      <c r="O39" s="112"/>
      <c r="P39" s="113"/>
      <c r="Q39" s="114"/>
      <c r="R39" s="357"/>
      <c r="S39" s="114"/>
      <c r="T39" s="114"/>
      <c r="U39" s="114"/>
      <c r="V39" s="112"/>
      <c r="W39" s="113"/>
      <c r="X39" s="114"/>
      <c r="Y39" s="114"/>
      <c r="Z39" s="114"/>
      <c r="AA39" s="114"/>
      <c r="AB39" s="113"/>
      <c r="AC39" s="114"/>
      <c r="AD39" s="114"/>
      <c r="AE39" s="114"/>
      <c r="AG39" s="35"/>
    </row>
    <row r="40" spans="1:34" s="129" customFormat="1" ht="15" thickBot="1" x14ac:dyDescent="0.35">
      <c r="A40" s="135" t="s">
        <v>1</v>
      </c>
      <c r="D40" s="125">
        <f t="shared" ref="D40" si="42">SUM(D36:D39)</f>
        <v>-86</v>
      </c>
      <c r="E40" s="126">
        <f t="shared" ref="E40" si="43">SUM(E36:E39)</f>
        <v>23325</v>
      </c>
      <c r="F40" s="422"/>
      <c r="G40" s="147"/>
      <c r="H40" s="125">
        <f t="shared" ref="H40" si="44">SUM(H36:H39)</f>
        <v>2031.6666666666665</v>
      </c>
      <c r="I40" s="335">
        <f t="shared" ref="I40:L40" si="45">SUM(I36:I39)</f>
        <v>23411</v>
      </c>
      <c r="J40" s="127">
        <f t="shared" si="45"/>
        <v>19509.166666666664</v>
      </c>
      <c r="K40" s="127">
        <f t="shared" si="45"/>
        <v>19590.356666666667</v>
      </c>
      <c r="L40" s="127">
        <f t="shared" si="45"/>
        <v>-81.190000000000197</v>
      </c>
      <c r="M40" s="253"/>
      <c r="N40" s="253"/>
      <c r="O40" s="125">
        <f>SUM(O36:O39)</f>
        <v>805.93333333333362</v>
      </c>
      <c r="P40" s="126">
        <f>SUM(P36:P39)</f>
        <v>21379.333333333336</v>
      </c>
      <c r="Q40" s="127">
        <f t="shared" ref="Q40:S40" si="46">SUM(Q36:Q39)</f>
        <v>21379.333333333336</v>
      </c>
      <c r="R40" s="381">
        <f t="shared" si="46"/>
        <v>21323</v>
      </c>
      <c r="S40" s="127">
        <f t="shared" si="46"/>
        <v>56.333333333333258</v>
      </c>
      <c r="T40" s="138"/>
      <c r="U40" s="138"/>
      <c r="V40" s="125">
        <f t="shared" ref="V40:Z40" si="47">SUM(V36:V39)</f>
        <v>444.39999999999981</v>
      </c>
      <c r="W40" s="126">
        <f t="shared" si="47"/>
        <v>20573.400000000001</v>
      </c>
      <c r="X40" s="127">
        <f t="shared" si="47"/>
        <v>17144.5</v>
      </c>
      <c r="Y40" s="127">
        <f t="shared" si="47"/>
        <v>9791.2300000000014</v>
      </c>
      <c r="Z40" s="127">
        <f t="shared" si="47"/>
        <v>7353.2699999999986</v>
      </c>
      <c r="AA40" s="138"/>
      <c r="AB40" s="126">
        <f>SUM(AB36:AB39)</f>
        <v>20129</v>
      </c>
      <c r="AC40" s="127">
        <f t="shared" ref="AC40:AE40" si="48">SUM(AC36:AC39)</f>
        <v>16774.166666666664</v>
      </c>
      <c r="AD40" s="127">
        <f t="shared" si="48"/>
        <v>18249.48</v>
      </c>
      <c r="AE40" s="127">
        <f t="shared" si="48"/>
        <v>-1475.3133333333335</v>
      </c>
      <c r="AG40" s="155">
        <f>SUM(B40:AF40)</f>
        <v>261628.06666666668</v>
      </c>
      <c r="AH40" s="156" t="s">
        <v>143</v>
      </c>
    </row>
    <row r="41" spans="1:34" x14ac:dyDescent="0.3">
      <c r="R41" s="361"/>
      <c r="AG41" s="35"/>
    </row>
    <row r="42" spans="1:34" x14ac:dyDescent="0.3">
      <c r="A42" s="233" t="str">
        <f>"* "&amp;Summary!$A$26</f>
        <v>* Inflation Factor, CPI to 16th September, 2020</v>
      </c>
      <c r="B42" s="233"/>
      <c r="C42" s="233"/>
      <c r="D42" s="233"/>
      <c r="E42" s="353">
        <f>Summary!$E$26</f>
        <v>5.0000000000000001E-3</v>
      </c>
      <c r="F42" s="201"/>
      <c r="G42" s="233"/>
      <c r="H42" s="436" t="str">
        <f>Summary!$H$26</f>
        <v>October, 2019</v>
      </c>
      <c r="I42" s="353">
        <f>Summary!$I$26</f>
        <v>1.7000000000000001E-2</v>
      </c>
      <c r="J42" s="311"/>
      <c r="K42" s="311"/>
      <c r="L42" s="311"/>
      <c r="M42" s="241"/>
      <c r="N42" s="241"/>
      <c r="O42" s="436" t="str">
        <f>Summary!$O$26</f>
        <v>October, 2018</v>
      </c>
      <c r="P42" s="353">
        <f>Summary!$P$26</f>
        <v>2.4E-2</v>
      </c>
      <c r="Q42" s="241"/>
      <c r="R42" s="361"/>
      <c r="AG42" s="35"/>
    </row>
    <row r="43" spans="1:3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AG43" s="35"/>
    </row>
    <row r="44" spans="1:3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34" ht="30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AG45" s="35"/>
    </row>
    <row r="46" spans="1:3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3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3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30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30" customHeigh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30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</sheetData>
  <mergeCells count="17">
    <mergeCell ref="H4:H5"/>
    <mergeCell ref="D3:E3"/>
    <mergeCell ref="Q5:S5"/>
    <mergeCell ref="O3:S3"/>
    <mergeCell ref="D4:D5"/>
    <mergeCell ref="E4:E5"/>
    <mergeCell ref="H3:L3"/>
    <mergeCell ref="I4:J4"/>
    <mergeCell ref="AB3:AE3"/>
    <mergeCell ref="O4:O5"/>
    <mergeCell ref="V4:V5"/>
    <mergeCell ref="W4:X4"/>
    <mergeCell ref="AB4:AC4"/>
    <mergeCell ref="X5:Z5"/>
    <mergeCell ref="AC5:AE5"/>
    <mergeCell ref="P4:Q4"/>
    <mergeCell ref="V3:Z3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8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H49"/>
  <sheetViews>
    <sheetView showGridLines="0" zoomScale="80" zoomScaleNormal="80" workbookViewId="0">
      <pane ySplit="5" topLeftCell="A36" activePane="bottomLeft" state="frozen"/>
      <selection activeCell="H32" sqref="H32:I32"/>
      <selection pane="bottomLeft" activeCell="A33" sqref="A33:L49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3320312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ht="21" x14ac:dyDescent="0.3">
      <c r="A1" s="54" t="s">
        <v>181</v>
      </c>
      <c r="B1" s="51"/>
      <c r="C1" s="51"/>
      <c r="D1" s="54" t="s">
        <v>172</v>
      </c>
      <c r="E1" s="233"/>
      <c r="F1" s="201"/>
      <c r="H1" s="181">
        <v>4</v>
      </c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234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x14ac:dyDescent="0.3">
      <c r="A7" s="76" t="s">
        <v>20</v>
      </c>
      <c r="B7" s="76"/>
      <c r="C7" s="76"/>
      <c r="D7" s="76"/>
      <c r="E7" s="76"/>
      <c r="F7" s="420"/>
      <c r="G7" s="76"/>
      <c r="H7" s="76"/>
      <c r="I7" s="314"/>
      <c r="J7" s="314"/>
      <c r="K7" s="76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80" t="s">
        <v>14</v>
      </c>
      <c r="B8" s="80"/>
      <c r="C8" s="80"/>
      <c r="D8" s="81">
        <f>E8-I8</f>
        <v>0</v>
      </c>
      <c r="E8" s="346">
        <v>150</v>
      </c>
      <c r="F8" s="393"/>
      <c r="G8" s="80"/>
      <c r="H8" s="81">
        <f>I8-P8</f>
        <v>-3.5999999999999943</v>
      </c>
      <c r="I8" s="303">
        <v>150</v>
      </c>
      <c r="J8" s="83">
        <f>I8/12*Summary!$H$30</f>
        <v>125</v>
      </c>
      <c r="K8" s="268">
        <v>50</v>
      </c>
      <c r="L8" s="83">
        <f>J8-K8</f>
        <v>75</v>
      </c>
      <c r="M8" s="243"/>
      <c r="N8" s="243"/>
      <c r="O8" s="81">
        <f>P8-W8</f>
        <v>3.5999999999999943</v>
      </c>
      <c r="P8" s="82">
        <f>W8+(W8*$P$31)</f>
        <v>153.6</v>
      </c>
      <c r="Q8" s="83">
        <f>P8</f>
        <v>153.6</v>
      </c>
      <c r="R8" s="348">
        <v>100</v>
      </c>
      <c r="S8" s="83">
        <f>Q8-R8</f>
        <v>53.599999999999994</v>
      </c>
      <c r="T8" s="79"/>
      <c r="U8" s="79"/>
      <c r="V8" s="77">
        <f>W8-AB8</f>
        <v>0</v>
      </c>
      <c r="W8" s="82">
        <v>150</v>
      </c>
      <c r="X8" s="83">
        <f>W8/12*10</f>
        <v>125</v>
      </c>
      <c r="Y8" s="83">
        <v>130</v>
      </c>
      <c r="Z8" s="83">
        <f>X8-Y8</f>
        <v>-5</v>
      </c>
      <c r="AA8" s="79"/>
      <c r="AB8" s="78">
        <v>150</v>
      </c>
      <c r="AC8" s="83">
        <f>AB8/12*10</f>
        <v>125</v>
      </c>
      <c r="AD8" s="79">
        <v>130</v>
      </c>
      <c r="AE8" s="79">
        <f>AC8-AD8</f>
        <v>-5</v>
      </c>
      <c r="AF8" s="11"/>
      <c r="AG8" s="73"/>
      <c r="AH8" s="17"/>
    </row>
    <row r="9" spans="1:34" x14ac:dyDescent="0.3">
      <c r="A9" s="80" t="s">
        <v>15</v>
      </c>
      <c r="B9" s="80"/>
      <c r="C9" s="80"/>
      <c r="D9" s="81">
        <f>E9-I9</f>
        <v>11</v>
      </c>
      <c r="E9" s="346">
        <v>220</v>
      </c>
      <c r="F9" s="393"/>
      <c r="G9" s="80"/>
      <c r="H9" s="81">
        <f>I9-P9</f>
        <v>-47</v>
      </c>
      <c r="I9" s="303">
        <v>209</v>
      </c>
      <c r="J9" s="83">
        <f>I9/12*Summary!$H$30</f>
        <v>174.16666666666669</v>
      </c>
      <c r="K9" s="268">
        <v>0</v>
      </c>
      <c r="L9" s="83">
        <f>J9-K9</f>
        <v>174.16666666666669</v>
      </c>
      <c r="M9" s="243"/>
      <c r="N9" s="243"/>
      <c r="O9" s="81">
        <f>P9-W9</f>
        <v>6</v>
      </c>
      <c r="P9" s="82">
        <f>W9+(W9*$P$31)</f>
        <v>256</v>
      </c>
      <c r="Q9" s="83">
        <f t="shared" ref="Q9:Q11" si="0">P9</f>
        <v>256</v>
      </c>
      <c r="R9" s="348">
        <v>200</v>
      </c>
      <c r="S9" s="83">
        <f>Q9-R9</f>
        <v>56</v>
      </c>
      <c r="T9" s="79"/>
      <c r="U9" s="79"/>
      <c r="V9" s="77">
        <f>W9-AB9</f>
        <v>50</v>
      </c>
      <c r="W9" s="82">
        <v>250</v>
      </c>
      <c r="X9" s="83">
        <f>W9/12*10</f>
        <v>208.33333333333331</v>
      </c>
      <c r="Y9" s="83">
        <v>0</v>
      </c>
      <c r="Z9" s="83">
        <f>X9-Y9</f>
        <v>208.33333333333331</v>
      </c>
      <c r="AA9" s="79"/>
      <c r="AB9" s="78">
        <v>200</v>
      </c>
      <c r="AC9" s="83">
        <f>AB9/12*10</f>
        <v>166.66666666666669</v>
      </c>
      <c r="AD9" s="79">
        <v>0</v>
      </c>
      <c r="AE9" s="79">
        <f>AC9-AD9</f>
        <v>166.66666666666669</v>
      </c>
      <c r="AF9" s="11"/>
      <c r="AG9" s="145"/>
    </row>
    <row r="10" spans="1:34" x14ac:dyDescent="0.3">
      <c r="A10" s="80" t="s">
        <v>21</v>
      </c>
      <c r="B10" s="80"/>
      <c r="C10" s="80"/>
      <c r="D10" s="81">
        <f>E10-I10</f>
        <v>0</v>
      </c>
      <c r="E10" s="259">
        <v>307</v>
      </c>
      <c r="F10" s="303"/>
      <c r="G10" s="80"/>
      <c r="H10" s="81">
        <f>I10-P10</f>
        <v>53</v>
      </c>
      <c r="I10" s="303">
        <v>307</v>
      </c>
      <c r="J10" s="83">
        <f>I10/12*Summary!$H$30</f>
        <v>255.83333333333331</v>
      </c>
      <c r="K10" s="268">
        <v>205</v>
      </c>
      <c r="L10" s="83">
        <f>J10-K10</f>
        <v>50.833333333333314</v>
      </c>
      <c r="M10" s="243"/>
      <c r="N10" s="243"/>
      <c r="O10" s="81">
        <f>P10-W10</f>
        <v>-46</v>
      </c>
      <c r="P10" s="82">
        <v>254</v>
      </c>
      <c r="Q10" s="83">
        <f t="shared" si="0"/>
        <v>254</v>
      </c>
      <c r="R10" s="348">
        <v>300</v>
      </c>
      <c r="S10" s="83">
        <f>Q10-R10</f>
        <v>-46</v>
      </c>
      <c r="T10" s="79"/>
      <c r="U10" s="79"/>
      <c r="V10" s="77">
        <f>W10-AB10</f>
        <v>60</v>
      </c>
      <c r="W10" s="82">
        <v>300</v>
      </c>
      <c r="X10" s="83">
        <f>W10/12*10</f>
        <v>250</v>
      </c>
      <c r="Y10" s="83">
        <v>160</v>
      </c>
      <c r="Z10" s="83">
        <f>X10-Y10</f>
        <v>90</v>
      </c>
      <c r="AA10" s="79"/>
      <c r="AB10" s="78">
        <v>240</v>
      </c>
      <c r="AC10" s="83">
        <f>AB10/12*10</f>
        <v>200</v>
      </c>
      <c r="AD10" s="79">
        <v>160</v>
      </c>
      <c r="AE10" s="79">
        <f>AC10-AD10</f>
        <v>40</v>
      </c>
      <c r="AF10" s="11"/>
      <c r="AG10" s="73"/>
    </row>
    <row r="11" spans="1:34" x14ac:dyDescent="0.3">
      <c r="A11" s="80" t="s">
        <v>127</v>
      </c>
      <c r="B11" s="80"/>
      <c r="C11" s="80"/>
      <c r="D11" s="81">
        <f>E11-I11</f>
        <v>0</v>
      </c>
      <c r="E11" s="259">
        <v>168</v>
      </c>
      <c r="F11" s="303"/>
      <c r="G11" s="80"/>
      <c r="H11" s="81">
        <f>I11-P11</f>
        <v>0</v>
      </c>
      <c r="I11" s="303">
        <v>168</v>
      </c>
      <c r="J11" s="83">
        <f>I11/12*Summary!$H$30</f>
        <v>140</v>
      </c>
      <c r="K11" s="268">
        <v>168</v>
      </c>
      <c r="L11" s="83">
        <f>J11-K11</f>
        <v>-28</v>
      </c>
      <c r="M11" s="243"/>
      <c r="N11" s="243"/>
      <c r="O11" s="81">
        <f>P11-W11</f>
        <v>168</v>
      </c>
      <c r="P11" s="82">
        <f>(70+70)*1.2</f>
        <v>168</v>
      </c>
      <c r="Q11" s="83">
        <f t="shared" si="0"/>
        <v>168</v>
      </c>
      <c r="R11" s="348">
        <v>168</v>
      </c>
      <c r="S11" s="83">
        <f>Q11-R11</f>
        <v>0</v>
      </c>
      <c r="T11" s="79"/>
      <c r="U11" s="79"/>
      <c r="V11" s="77">
        <f t="shared" ref="V11" si="1">W11-AB11</f>
        <v>0</v>
      </c>
      <c r="W11" s="82">
        <v>0</v>
      </c>
      <c r="X11" s="83">
        <f>W11/12*10</f>
        <v>0</v>
      </c>
      <c r="Y11" s="83">
        <v>0</v>
      </c>
      <c r="Z11" s="83">
        <f>X11-Y11</f>
        <v>0</v>
      </c>
      <c r="AA11" s="79"/>
      <c r="AB11" s="78">
        <v>0</v>
      </c>
      <c r="AC11" s="83">
        <f>AB11/12*10</f>
        <v>0</v>
      </c>
      <c r="AD11" s="79">
        <v>0</v>
      </c>
      <c r="AE11" s="79">
        <f>AC11-AD11</f>
        <v>0</v>
      </c>
      <c r="AF11" s="11"/>
    </row>
    <row r="12" spans="1:34" x14ac:dyDescent="0.3">
      <c r="A12" s="80"/>
      <c r="B12" s="80"/>
      <c r="C12" s="80"/>
      <c r="D12" s="81"/>
      <c r="E12" s="243"/>
      <c r="F12" s="303"/>
      <c r="G12" s="80"/>
      <c r="H12" s="81"/>
      <c r="I12" s="303"/>
      <c r="J12" s="83"/>
      <c r="K12" s="83"/>
      <c r="L12" s="83"/>
      <c r="M12" s="243"/>
      <c r="N12" s="243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</row>
    <row r="13" spans="1:34" s="129" customFormat="1" ht="15" thickBot="1" x14ac:dyDescent="0.35">
      <c r="A13" s="135" t="s">
        <v>139</v>
      </c>
      <c r="B13" s="76"/>
      <c r="C13" s="76"/>
      <c r="D13" s="85">
        <f>SUM(D7:D12)</f>
        <v>11</v>
      </c>
      <c r="E13" s="86">
        <f>SUM(E7:E12)</f>
        <v>845</v>
      </c>
      <c r="F13" s="304"/>
      <c r="G13" s="147"/>
      <c r="H13" s="85">
        <f>SUM(H7:H12)</f>
        <v>2.4000000000000057</v>
      </c>
      <c r="I13" s="331">
        <f>SUM(I7:I12)</f>
        <v>834</v>
      </c>
      <c r="J13" s="88">
        <f>SUM(J7:J12)</f>
        <v>695</v>
      </c>
      <c r="K13" s="88">
        <f>SUM(K7:K12)</f>
        <v>423</v>
      </c>
      <c r="L13" s="88">
        <f>SUM(L7:L12)</f>
        <v>272</v>
      </c>
      <c r="M13" s="100"/>
      <c r="N13" s="100"/>
      <c r="O13" s="85">
        <f>SUM(O7:O12)</f>
        <v>131.6</v>
      </c>
      <c r="P13" s="86">
        <f>SUM(P7:P12)</f>
        <v>831.6</v>
      </c>
      <c r="Q13" s="88">
        <f>SUM(Q7:Q12)</f>
        <v>831.6</v>
      </c>
      <c r="R13" s="349">
        <f>SUM(R7:R12)</f>
        <v>768</v>
      </c>
      <c r="S13" s="88">
        <f>SUM(S7:S12)</f>
        <v>63.599999999999994</v>
      </c>
      <c r="T13" s="87"/>
      <c r="U13" s="87"/>
      <c r="V13" s="85">
        <f>SUM(V7:V12)</f>
        <v>110</v>
      </c>
      <c r="W13" s="86">
        <f>SUM(W7:W12)</f>
        <v>700</v>
      </c>
      <c r="X13" s="88">
        <f>SUM(X7:X12)</f>
        <v>583.33333333333326</v>
      </c>
      <c r="Y13" s="88">
        <f>SUM(Y7:Y12)</f>
        <v>290</v>
      </c>
      <c r="Z13" s="88">
        <f>SUM(Z7:Z12)</f>
        <v>293.33333333333331</v>
      </c>
      <c r="AA13" s="87"/>
      <c r="AB13" s="89">
        <f>SUM(AB7:AB12)</f>
        <v>590</v>
      </c>
      <c r="AC13" s="88">
        <f>SUM(AC7:AC12)</f>
        <v>491.66666666666669</v>
      </c>
      <c r="AD13" s="88">
        <f>SUM(AD7:AD12)</f>
        <v>290</v>
      </c>
      <c r="AE13" s="88">
        <f>SUM(AE7:AE12)</f>
        <v>201.66666666666669</v>
      </c>
      <c r="AF13" s="13"/>
    </row>
    <row r="14" spans="1:34" x14ac:dyDescent="0.3">
      <c r="D14" s="112"/>
      <c r="E14" s="32"/>
      <c r="F14" s="315"/>
      <c r="H14" s="112"/>
      <c r="J14" s="114"/>
      <c r="K14" s="114"/>
      <c r="L14" s="114"/>
      <c r="O14" s="112"/>
      <c r="P14" s="113"/>
      <c r="Q14" s="114"/>
      <c r="R14" s="357"/>
      <c r="S14" s="114"/>
      <c r="T14" s="114"/>
      <c r="U14" s="114"/>
      <c r="V14" s="112"/>
      <c r="W14" s="113"/>
      <c r="X14" s="114"/>
      <c r="Y14" s="114"/>
      <c r="Z14" s="114"/>
      <c r="AA14" s="114"/>
      <c r="AB14" s="113"/>
      <c r="AC14" s="114"/>
      <c r="AD14" s="114"/>
      <c r="AE14" s="114"/>
    </row>
    <row r="15" spans="1:34" x14ac:dyDescent="0.3">
      <c r="A15" s="42" t="s">
        <v>23</v>
      </c>
      <c r="D15" s="112"/>
      <c r="E15" s="32"/>
      <c r="F15" s="315"/>
      <c r="G15" s="42"/>
      <c r="H15" s="112"/>
      <c r="J15" s="114"/>
      <c r="K15" s="114"/>
      <c r="L15" s="114"/>
      <c r="O15" s="112"/>
      <c r="P15" s="113"/>
      <c r="Q15" s="114"/>
      <c r="R15" s="357"/>
      <c r="S15" s="114"/>
      <c r="T15" s="114"/>
      <c r="U15" s="114"/>
      <c r="V15" s="112"/>
      <c r="W15" s="113"/>
      <c r="X15" s="114"/>
      <c r="Y15" s="114"/>
      <c r="Z15" s="114"/>
      <c r="AA15" s="114"/>
      <c r="AB15" s="113"/>
      <c r="AC15" s="114"/>
      <c r="AD15" s="114"/>
      <c r="AE15" s="114"/>
    </row>
    <row r="16" spans="1:34" x14ac:dyDescent="0.3">
      <c r="A16" s="48" t="s">
        <v>22</v>
      </c>
      <c r="B16" s="80"/>
      <c r="C16" s="80"/>
      <c r="D16" s="81">
        <f t="shared" ref="D16:D21" si="2">E16-I16</f>
        <v>45</v>
      </c>
      <c r="E16" s="346">
        <v>250</v>
      </c>
      <c r="F16" s="393"/>
      <c r="G16" s="48"/>
      <c r="H16" s="81">
        <f t="shared" ref="H16:H21" si="3">I16-P16</f>
        <v>0.19999999999998863</v>
      </c>
      <c r="I16" s="303">
        <v>205</v>
      </c>
      <c r="J16" s="83">
        <f>I16/12*Summary!$H$30</f>
        <v>170.83333333333331</v>
      </c>
      <c r="K16" s="268">
        <v>850</v>
      </c>
      <c r="L16" s="83">
        <f t="shared" ref="L16:L21" si="4">J16-K16</f>
        <v>-679.16666666666674</v>
      </c>
      <c r="M16" s="243"/>
      <c r="N16" s="243"/>
      <c r="O16" s="81">
        <f t="shared" ref="O16:O21" si="5">P16-W16</f>
        <v>4.8000000000000114</v>
      </c>
      <c r="P16" s="82">
        <f t="shared" ref="P16:P20" si="6">W16+(W16*$P$31)</f>
        <v>204.8</v>
      </c>
      <c r="Q16" s="83">
        <f t="shared" ref="Q16:Q20" si="7">P16</f>
        <v>204.8</v>
      </c>
      <c r="R16" s="348">
        <v>510</v>
      </c>
      <c r="S16" s="83">
        <f t="shared" ref="S16:S21" si="8">Q16-R16</f>
        <v>-305.2</v>
      </c>
      <c r="T16" s="114"/>
      <c r="U16" s="114"/>
      <c r="V16" s="77">
        <f t="shared" ref="V16:V21" si="9">W16-AB16</f>
        <v>0</v>
      </c>
      <c r="W16" s="113">
        <v>200</v>
      </c>
      <c r="X16" s="83">
        <f t="shared" ref="X16:X21" si="10">W16/12*10</f>
        <v>166.66666666666669</v>
      </c>
      <c r="Y16" s="83">
        <v>788.9</v>
      </c>
      <c r="Z16" s="83">
        <f t="shared" ref="Z16:Z21" si="11">X16-Y16</f>
        <v>-622.23333333333335</v>
      </c>
      <c r="AA16" s="114"/>
      <c r="AB16" s="113">
        <v>200</v>
      </c>
      <c r="AC16" s="83">
        <f t="shared" ref="AC16:AC21" si="12">AB16/12*10</f>
        <v>166.66666666666669</v>
      </c>
      <c r="AD16" s="114">
        <v>155</v>
      </c>
      <c r="AE16" s="79">
        <f t="shared" ref="AE16:AE21" si="13">AC16-AD16</f>
        <v>11.666666666666686</v>
      </c>
    </row>
    <row r="17" spans="1:34" x14ac:dyDescent="0.3">
      <c r="A17" s="48" t="s">
        <v>16</v>
      </c>
      <c r="B17" s="80"/>
      <c r="C17" s="80"/>
      <c r="D17" s="81">
        <f t="shared" si="2"/>
        <v>0</v>
      </c>
      <c r="E17" s="346">
        <v>50</v>
      </c>
      <c r="F17" s="393"/>
      <c r="G17" s="48"/>
      <c r="H17" s="81">
        <f t="shared" si="3"/>
        <v>-1.2000000000000028</v>
      </c>
      <c r="I17" s="303">
        <v>50</v>
      </c>
      <c r="J17" s="83">
        <f>I17/12*Summary!$H$30</f>
        <v>41.666666666666671</v>
      </c>
      <c r="K17" s="268">
        <v>0</v>
      </c>
      <c r="L17" s="83">
        <f t="shared" si="4"/>
        <v>41.666666666666671</v>
      </c>
      <c r="M17" s="243"/>
      <c r="N17" s="243"/>
      <c r="O17" s="81">
        <f t="shared" si="5"/>
        <v>1.2000000000000028</v>
      </c>
      <c r="P17" s="82">
        <f t="shared" si="6"/>
        <v>51.2</v>
      </c>
      <c r="Q17" s="83">
        <f t="shared" si="7"/>
        <v>51.2</v>
      </c>
      <c r="R17" s="348">
        <v>0</v>
      </c>
      <c r="S17" s="83">
        <f t="shared" si="8"/>
        <v>51.2</v>
      </c>
      <c r="T17" s="114"/>
      <c r="U17" s="114"/>
      <c r="V17" s="77">
        <f t="shared" si="9"/>
        <v>0</v>
      </c>
      <c r="W17" s="113">
        <v>50</v>
      </c>
      <c r="X17" s="83">
        <f t="shared" si="10"/>
        <v>41.666666666666671</v>
      </c>
      <c r="Y17" s="83">
        <v>23.88</v>
      </c>
      <c r="Z17" s="83">
        <f t="shared" si="11"/>
        <v>17.786666666666672</v>
      </c>
      <c r="AA17" s="114"/>
      <c r="AB17" s="113">
        <v>50</v>
      </c>
      <c r="AC17" s="83">
        <f t="shared" si="12"/>
        <v>41.666666666666671</v>
      </c>
      <c r="AD17" s="114">
        <v>0</v>
      </c>
      <c r="AE17" s="79">
        <f t="shared" si="13"/>
        <v>41.666666666666671</v>
      </c>
    </row>
    <row r="18" spans="1:34" x14ac:dyDescent="0.3">
      <c r="A18" s="48" t="s">
        <v>24</v>
      </c>
      <c r="B18" s="80"/>
      <c r="C18" s="80"/>
      <c r="D18" s="81">
        <f t="shared" si="2"/>
        <v>0</v>
      </c>
      <c r="E18" s="346">
        <v>60</v>
      </c>
      <c r="F18" s="393"/>
      <c r="G18" s="48"/>
      <c r="H18" s="81">
        <f t="shared" si="3"/>
        <v>8.7999999999999972</v>
      </c>
      <c r="I18" s="303">
        <v>60</v>
      </c>
      <c r="J18" s="83">
        <f>I18/12*Summary!$H$30</f>
        <v>50</v>
      </c>
      <c r="K18" s="268">
        <v>122</v>
      </c>
      <c r="L18" s="83">
        <f t="shared" si="4"/>
        <v>-72</v>
      </c>
      <c r="M18" s="243"/>
      <c r="N18" s="243"/>
      <c r="O18" s="81">
        <f t="shared" si="5"/>
        <v>1.2000000000000028</v>
      </c>
      <c r="P18" s="82">
        <f t="shared" si="6"/>
        <v>51.2</v>
      </c>
      <c r="Q18" s="83">
        <f t="shared" si="7"/>
        <v>51.2</v>
      </c>
      <c r="R18" s="348">
        <v>123</v>
      </c>
      <c r="S18" s="83">
        <f t="shared" si="8"/>
        <v>-71.8</v>
      </c>
      <c r="T18" s="114"/>
      <c r="U18" s="114"/>
      <c r="V18" s="77">
        <f t="shared" si="9"/>
        <v>0</v>
      </c>
      <c r="W18" s="113">
        <v>50</v>
      </c>
      <c r="X18" s="83">
        <f t="shared" si="10"/>
        <v>41.666666666666671</v>
      </c>
      <c r="Y18" s="83">
        <v>340</v>
      </c>
      <c r="Z18" s="83">
        <f t="shared" si="11"/>
        <v>-298.33333333333331</v>
      </c>
      <c r="AA18" s="114"/>
      <c r="AB18" s="113">
        <v>50</v>
      </c>
      <c r="AC18" s="83">
        <f t="shared" si="12"/>
        <v>41.666666666666671</v>
      </c>
      <c r="AD18" s="114">
        <v>20</v>
      </c>
      <c r="AE18" s="79">
        <f t="shared" si="13"/>
        <v>21.666666666666671</v>
      </c>
    </row>
    <row r="19" spans="1:34" x14ac:dyDescent="0.3">
      <c r="A19" s="48" t="s">
        <v>12</v>
      </c>
      <c r="B19" s="80"/>
      <c r="C19" s="80"/>
      <c r="D19" s="81">
        <f t="shared" si="2"/>
        <v>0</v>
      </c>
      <c r="E19" s="346">
        <v>100</v>
      </c>
      <c r="F19" s="393"/>
      <c r="G19" s="48"/>
      <c r="H19" s="81">
        <f t="shared" si="3"/>
        <v>-2.4000000000000057</v>
      </c>
      <c r="I19" s="303">
        <v>100</v>
      </c>
      <c r="J19" s="83">
        <f>I19/12*Summary!$H$30</f>
        <v>83.333333333333343</v>
      </c>
      <c r="K19" s="268">
        <v>0</v>
      </c>
      <c r="L19" s="83">
        <f t="shared" si="4"/>
        <v>83.333333333333343</v>
      </c>
      <c r="M19" s="243"/>
      <c r="N19" s="243"/>
      <c r="O19" s="81">
        <f t="shared" si="5"/>
        <v>2.4000000000000057</v>
      </c>
      <c r="P19" s="82">
        <f t="shared" si="6"/>
        <v>102.4</v>
      </c>
      <c r="Q19" s="83">
        <f t="shared" si="7"/>
        <v>102.4</v>
      </c>
      <c r="R19" s="348">
        <v>110</v>
      </c>
      <c r="S19" s="83">
        <f t="shared" si="8"/>
        <v>-7.5999999999999943</v>
      </c>
      <c r="T19" s="114"/>
      <c r="U19" s="114"/>
      <c r="V19" s="77">
        <f t="shared" si="9"/>
        <v>47</v>
      </c>
      <c r="W19" s="113">
        <v>100</v>
      </c>
      <c r="X19" s="83">
        <f t="shared" si="10"/>
        <v>83.333333333333343</v>
      </c>
      <c r="Y19" s="83">
        <v>222.77</v>
      </c>
      <c r="Z19" s="83">
        <f t="shared" si="11"/>
        <v>-139.43666666666667</v>
      </c>
      <c r="AA19" s="114"/>
      <c r="AB19" s="113">
        <v>53</v>
      </c>
      <c r="AC19" s="83">
        <f t="shared" si="12"/>
        <v>44.166666666666671</v>
      </c>
      <c r="AD19" s="114">
        <v>90</v>
      </c>
      <c r="AE19" s="79">
        <f t="shared" si="13"/>
        <v>-45.833333333333329</v>
      </c>
    </row>
    <row r="20" spans="1:34" x14ac:dyDescent="0.3">
      <c r="A20" s="48" t="s">
        <v>25</v>
      </c>
      <c r="B20" s="80"/>
      <c r="C20" s="80"/>
      <c r="D20" s="81">
        <f t="shared" si="2"/>
        <v>0</v>
      </c>
      <c r="E20" s="346">
        <v>168</v>
      </c>
      <c r="F20" s="393"/>
      <c r="G20" s="48"/>
      <c r="H20" s="81">
        <f t="shared" si="3"/>
        <v>45.120000000000005</v>
      </c>
      <c r="I20" s="303">
        <v>168</v>
      </c>
      <c r="J20" s="83">
        <f>I20/12*Summary!$H$30</f>
        <v>140</v>
      </c>
      <c r="K20" s="268">
        <v>0</v>
      </c>
      <c r="L20" s="83">
        <f t="shared" si="4"/>
        <v>140</v>
      </c>
      <c r="M20" s="243"/>
      <c r="N20" s="243"/>
      <c r="O20" s="81">
        <f t="shared" si="5"/>
        <v>2.8799999999999955</v>
      </c>
      <c r="P20" s="82">
        <f t="shared" si="6"/>
        <v>122.88</v>
      </c>
      <c r="Q20" s="83">
        <f t="shared" si="7"/>
        <v>122.88</v>
      </c>
      <c r="R20" s="348">
        <v>307</v>
      </c>
      <c r="S20" s="83">
        <f t="shared" si="8"/>
        <v>-184.12</v>
      </c>
      <c r="T20" s="114"/>
      <c r="U20" s="114"/>
      <c r="V20" s="77">
        <f t="shared" si="9"/>
        <v>20</v>
      </c>
      <c r="W20" s="113">
        <v>120</v>
      </c>
      <c r="X20" s="83">
        <f t="shared" si="10"/>
        <v>100</v>
      </c>
      <c r="Y20" s="83">
        <v>24</v>
      </c>
      <c r="Z20" s="83">
        <f t="shared" si="11"/>
        <v>76</v>
      </c>
      <c r="AA20" s="114"/>
      <c r="AB20" s="113">
        <v>100</v>
      </c>
      <c r="AC20" s="83">
        <f t="shared" si="12"/>
        <v>83.333333333333343</v>
      </c>
      <c r="AD20" s="114">
        <v>58</v>
      </c>
      <c r="AE20" s="79">
        <f t="shared" si="13"/>
        <v>25.333333333333343</v>
      </c>
    </row>
    <row r="21" spans="1:34" x14ac:dyDescent="0.3">
      <c r="A21" s="48" t="s">
        <v>126</v>
      </c>
      <c r="D21" s="81">
        <f t="shared" si="2"/>
        <v>0</v>
      </c>
      <c r="E21" s="258">
        <v>0</v>
      </c>
      <c r="F21" s="315"/>
      <c r="G21" s="48"/>
      <c r="H21" s="81">
        <f t="shared" si="3"/>
        <v>-128.76190476190476</v>
      </c>
      <c r="I21" s="315">
        <v>0</v>
      </c>
      <c r="J21" s="83">
        <f>I21/12*Summary!$H$30</f>
        <v>0</v>
      </c>
      <c r="K21" s="268">
        <v>0</v>
      </c>
      <c r="L21" s="83">
        <f t="shared" si="4"/>
        <v>0</v>
      </c>
      <c r="O21" s="81">
        <f t="shared" si="5"/>
        <v>128.76190476190476</v>
      </c>
      <c r="P21" s="113">
        <f>Reserves!X17</f>
        <v>128.76190476190476</v>
      </c>
      <c r="Q21" s="83">
        <f>P21</f>
        <v>128.76190476190476</v>
      </c>
      <c r="R21" s="348">
        <v>202</v>
      </c>
      <c r="S21" s="83">
        <f t="shared" si="8"/>
        <v>-73.238095238095241</v>
      </c>
      <c r="T21" s="114"/>
      <c r="U21" s="114"/>
      <c r="V21" s="77">
        <f t="shared" si="9"/>
        <v>0</v>
      </c>
      <c r="W21" s="113">
        <v>0</v>
      </c>
      <c r="X21" s="83">
        <f t="shared" si="10"/>
        <v>0</v>
      </c>
      <c r="Y21" s="83">
        <v>0</v>
      </c>
      <c r="Z21" s="83">
        <f t="shared" si="11"/>
        <v>0</v>
      </c>
      <c r="AA21" s="114"/>
      <c r="AB21" s="113">
        <v>0</v>
      </c>
      <c r="AC21" s="83">
        <f t="shared" si="12"/>
        <v>0</v>
      </c>
      <c r="AD21" s="114">
        <v>0</v>
      </c>
      <c r="AE21" s="79">
        <f t="shared" si="13"/>
        <v>0</v>
      </c>
    </row>
    <row r="22" spans="1:34" x14ac:dyDescent="0.3">
      <c r="A22" s="48"/>
      <c r="D22" s="112"/>
      <c r="E22" s="32"/>
      <c r="F22" s="315"/>
      <c r="G22" s="48"/>
      <c r="H22" s="112"/>
      <c r="J22" s="114"/>
      <c r="K22" s="114"/>
      <c r="L22" s="114"/>
      <c r="O22" s="112"/>
      <c r="P22" s="113"/>
      <c r="Q22" s="114"/>
      <c r="R22" s="357"/>
      <c r="S22" s="114"/>
      <c r="T22" s="114"/>
      <c r="U22" s="114"/>
      <c r="V22" s="112"/>
      <c r="W22" s="113"/>
      <c r="X22" s="114"/>
      <c r="Y22" s="114"/>
      <c r="Z22" s="114"/>
      <c r="AA22" s="114"/>
      <c r="AB22" s="113"/>
      <c r="AC22" s="114"/>
      <c r="AD22" s="114"/>
      <c r="AE22" s="114"/>
    </row>
    <row r="23" spans="1:34" s="129" customFormat="1" ht="15" thickBot="1" x14ac:dyDescent="0.35">
      <c r="A23" s="135" t="s">
        <v>140</v>
      </c>
      <c r="D23" s="136">
        <f>SUM(D15:D22)</f>
        <v>45</v>
      </c>
      <c r="E23" s="137">
        <f>SUM(E15:E22)</f>
        <v>628</v>
      </c>
      <c r="F23" s="421"/>
      <c r="G23" s="147"/>
      <c r="H23" s="136">
        <f>SUM(H15:H22)</f>
        <v>-78.241904761904777</v>
      </c>
      <c r="I23" s="334">
        <f>SUM(I15:I22)</f>
        <v>583</v>
      </c>
      <c r="J23" s="135">
        <f>SUM(J15:J22)</f>
        <v>485.83333333333337</v>
      </c>
      <c r="K23" s="135">
        <f>SUM(K15:K22)</f>
        <v>972</v>
      </c>
      <c r="L23" s="135">
        <f>SUM(L15:L22)</f>
        <v>-486.16666666666674</v>
      </c>
      <c r="M23" s="252"/>
      <c r="N23" s="252"/>
      <c r="O23" s="136">
        <f>SUM(O15:O22)</f>
        <v>141.24190476190478</v>
      </c>
      <c r="P23" s="137">
        <f>SUM(P15:P22)</f>
        <v>661.24190476190483</v>
      </c>
      <c r="Q23" s="135">
        <f>SUM(Q15:Q22)</f>
        <v>661.24190476190483</v>
      </c>
      <c r="R23" s="358">
        <f>SUM(R15:R22)</f>
        <v>1252</v>
      </c>
      <c r="S23" s="135">
        <f>SUM(S15:S22)</f>
        <v>-590.75809523809517</v>
      </c>
      <c r="T23" s="138"/>
      <c r="U23" s="138"/>
      <c r="V23" s="136">
        <f>SUM(V15:V22)</f>
        <v>67</v>
      </c>
      <c r="W23" s="137">
        <f>SUM(W15:W22)</f>
        <v>520</v>
      </c>
      <c r="X23" s="135">
        <f>SUM(X15:X22)</f>
        <v>433.33333333333337</v>
      </c>
      <c r="Y23" s="135">
        <f>SUM(Y15:Y22)</f>
        <v>1399.55</v>
      </c>
      <c r="Z23" s="135">
        <f>SUM(Z15:Z22)</f>
        <v>-966.2166666666667</v>
      </c>
      <c r="AA23" s="138"/>
      <c r="AB23" s="137">
        <f>SUM(AB15:AB22)</f>
        <v>453</v>
      </c>
      <c r="AC23" s="135">
        <f>SUM(AC15:AC22)</f>
        <v>377.50000000000011</v>
      </c>
      <c r="AD23" s="135">
        <f>SUM(AD15:AD22)</f>
        <v>323</v>
      </c>
      <c r="AE23" s="135">
        <f>SUM(AE15:AE22)</f>
        <v>54.500000000000043</v>
      </c>
    </row>
    <row r="24" spans="1:34" x14ac:dyDescent="0.3">
      <c r="A24" s="33"/>
      <c r="D24" s="112"/>
      <c r="E24" s="113"/>
      <c r="F24" s="415"/>
      <c r="G24" s="33"/>
      <c r="H24" s="112"/>
      <c r="I24" s="149"/>
      <c r="J24" s="114"/>
      <c r="K24" s="114"/>
      <c r="L24" s="114"/>
      <c r="M24" s="149"/>
      <c r="N24" s="149"/>
      <c r="O24" s="112"/>
      <c r="P24" s="149"/>
      <c r="Q24" s="114"/>
      <c r="R24" s="357"/>
      <c r="S24" s="114"/>
      <c r="T24" s="114"/>
      <c r="U24" s="114"/>
      <c r="V24" s="112"/>
      <c r="W24" s="113"/>
      <c r="X24" s="114"/>
      <c r="Y24" s="114"/>
      <c r="Z24" s="114"/>
      <c r="AA24" s="114"/>
      <c r="AB24" s="121"/>
      <c r="AC24" s="114"/>
      <c r="AD24" s="122"/>
      <c r="AE24" s="114"/>
    </row>
    <row r="25" spans="1:34" s="129" customFormat="1" ht="15" thickBot="1" x14ac:dyDescent="0.35">
      <c r="A25" s="135" t="s">
        <v>138</v>
      </c>
      <c r="D25" s="136">
        <f>D13+D23</f>
        <v>56</v>
      </c>
      <c r="E25" s="137">
        <f>E13+E23</f>
        <v>1473</v>
      </c>
      <c r="F25" s="421"/>
      <c r="G25" s="147"/>
      <c r="H25" s="136">
        <f>H13+H23</f>
        <v>-75.841904761904772</v>
      </c>
      <c r="I25" s="334">
        <f>I13+I23</f>
        <v>1417</v>
      </c>
      <c r="J25" s="135">
        <f>J13+J23</f>
        <v>1180.8333333333335</v>
      </c>
      <c r="K25" s="135">
        <f>K13+K23</f>
        <v>1395</v>
      </c>
      <c r="L25" s="135">
        <f>L13+L23</f>
        <v>-214.16666666666674</v>
      </c>
      <c r="M25" s="252"/>
      <c r="N25" s="252"/>
      <c r="O25" s="136">
        <f>O13+O23</f>
        <v>272.84190476190474</v>
      </c>
      <c r="P25" s="137">
        <f>P13+P23</f>
        <v>1492.841904761905</v>
      </c>
      <c r="Q25" s="135">
        <f>Q13+Q23</f>
        <v>1492.841904761905</v>
      </c>
      <c r="R25" s="358">
        <f>R13+R23</f>
        <v>2020</v>
      </c>
      <c r="S25" s="135">
        <f>S13+S23</f>
        <v>-527.15809523809514</v>
      </c>
      <c r="T25" s="138"/>
      <c r="U25" s="138"/>
      <c r="V25" s="136">
        <f>V13+V23</f>
        <v>177</v>
      </c>
      <c r="W25" s="137">
        <f>W13+W23</f>
        <v>1220</v>
      </c>
      <c r="X25" s="135">
        <f>X13+X23</f>
        <v>1016.6666666666666</v>
      </c>
      <c r="Y25" s="135">
        <f>Y13+Y23</f>
        <v>1689.55</v>
      </c>
      <c r="Z25" s="135">
        <f>Z13+Z23</f>
        <v>-672.88333333333344</v>
      </c>
      <c r="AA25" s="138"/>
      <c r="AB25" s="137">
        <f>AB13+AB23</f>
        <v>1043</v>
      </c>
      <c r="AC25" s="135">
        <f>AC13+AC23</f>
        <v>869.16666666666674</v>
      </c>
      <c r="AD25" s="135">
        <f>AD13+AD23</f>
        <v>613</v>
      </c>
      <c r="AE25" s="135">
        <f>AE13+AE23</f>
        <v>256.16666666666674</v>
      </c>
    </row>
    <row r="26" spans="1:34" x14ac:dyDescent="0.3">
      <c r="D26" s="112"/>
      <c r="E26" s="32"/>
      <c r="F26" s="315"/>
      <c r="H26" s="112"/>
      <c r="J26" s="114"/>
      <c r="K26" s="114"/>
      <c r="L26" s="114"/>
      <c r="O26" s="112"/>
      <c r="P26" s="149"/>
      <c r="Q26" s="114"/>
      <c r="R26" s="357"/>
      <c r="S26" s="114"/>
      <c r="T26" s="114"/>
      <c r="U26" s="114"/>
      <c r="V26" s="112"/>
      <c r="W26" s="113"/>
      <c r="X26" s="114"/>
      <c r="Y26" s="114"/>
      <c r="Z26" s="114"/>
      <c r="AA26" s="114"/>
      <c r="AB26" s="121"/>
      <c r="AC26" s="114"/>
      <c r="AD26" s="122"/>
      <c r="AE26" s="114"/>
    </row>
    <row r="27" spans="1:34" ht="15.6" x14ac:dyDescent="0.3">
      <c r="A27" s="48" t="s">
        <v>96</v>
      </c>
      <c r="D27" s="81">
        <f>E27-I27</f>
        <v>605</v>
      </c>
      <c r="E27" s="243">
        <f>Reserves!E17</f>
        <v>1200</v>
      </c>
      <c r="F27" s="303"/>
      <c r="G27" s="48"/>
      <c r="H27" s="81">
        <f>I27-P27</f>
        <v>-105</v>
      </c>
      <c r="I27" s="276">
        <v>595</v>
      </c>
      <c r="J27" s="83">
        <f>I27/12*Summary!$H$30</f>
        <v>495.83333333333337</v>
      </c>
      <c r="K27" s="448">
        <f>J27</f>
        <v>495.83333333333337</v>
      </c>
      <c r="L27" s="83">
        <f>J27-K27</f>
        <v>0</v>
      </c>
      <c r="M27" s="240"/>
      <c r="N27" s="240"/>
      <c r="O27" s="81">
        <f>P27-W27</f>
        <v>0</v>
      </c>
      <c r="P27" s="113">
        <v>700</v>
      </c>
      <c r="Q27" s="83">
        <f>P27</f>
        <v>700</v>
      </c>
      <c r="R27" s="348">
        <v>700</v>
      </c>
      <c r="S27" s="83">
        <f>Q27-R27</f>
        <v>0</v>
      </c>
      <c r="T27" s="114"/>
      <c r="U27" s="114"/>
      <c r="V27" s="77">
        <f t="shared" ref="V27" si="14">W27-AB27</f>
        <v>0</v>
      </c>
      <c r="W27" s="113">
        <v>700</v>
      </c>
      <c r="X27" s="83">
        <f>W27/12*10</f>
        <v>583.33333333333337</v>
      </c>
      <c r="Y27" s="83">
        <v>0</v>
      </c>
      <c r="Z27" s="83">
        <f>X27-Y27</f>
        <v>583.33333333333337</v>
      </c>
      <c r="AA27" s="114"/>
      <c r="AB27" s="113">
        <v>700</v>
      </c>
      <c r="AC27" s="83">
        <f>AB27/12*10</f>
        <v>583.33333333333337</v>
      </c>
      <c r="AD27" s="114">
        <v>525</v>
      </c>
      <c r="AE27" s="79">
        <f>AC27-AD27</f>
        <v>58.333333333333371</v>
      </c>
      <c r="AG27" s="144" t="s">
        <v>228</v>
      </c>
    </row>
    <row r="28" spans="1:34" x14ac:dyDescent="0.3">
      <c r="A28" s="48"/>
      <c r="D28" s="112"/>
      <c r="E28" s="32"/>
      <c r="F28" s="315"/>
      <c r="G28" s="48"/>
      <c r="H28" s="112"/>
      <c r="J28" s="114"/>
      <c r="K28" s="114"/>
      <c r="L28" s="114"/>
      <c r="O28" s="112"/>
      <c r="P28" s="113"/>
      <c r="Q28" s="114"/>
      <c r="R28" s="114"/>
      <c r="S28" s="114"/>
      <c r="T28" s="114"/>
      <c r="U28" s="114"/>
      <c r="V28" s="112"/>
      <c r="W28" s="113"/>
      <c r="X28" s="114"/>
      <c r="Y28" s="114"/>
      <c r="Z28" s="114"/>
      <c r="AA28" s="114"/>
      <c r="AB28" s="113"/>
      <c r="AC28" s="114"/>
      <c r="AD28" s="114"/>
      <c r="AE28" s="114"/>
      <c r="AG28" s="144"/>
    </row>
    <row r="29" spans="1:34" s="129" customFormat="1" ht="15" thickBot="1" x14ac:dyDescent="0.35">
      <c r="A29" s="135" t="s">
        <v>1</v>
      </c>
      <c r="D29" s="125">
        <f t="shared" ref="D29:E29" si="15">SUM(D25:D28)</f>
        <v>661</v>
      </c>
      <c r="E29" s="126">
        <f t="shared" si="15"/>
        <v>2673</v>
      </c>
      <c r="F29" s="422"/>
      <c r="G29" s="147"/>
      <c r="H29" s="125">
        <f t="shared" ref="H29" si="16">SUM(H25:H28)</f>
        <v>-180.84190476190477</v>
      </c>
      <c r="I29" s="335">
        <f t="shared" ref="I29:L29" si="17">SUM(I25:I28)</f>
        <v>2012</v>
      </c>
      <c r="J29" s="127">
        <f t="shared" si="17"/>
        <v>1676.666666666667</v>
      </c>
      <c r="K29" s="127">
        <f t="shared" si="17"/>
        <v>1890.8333333333335</v>
      </c>
      <c r="L29" s="127">
        <f t="shared" si="17"/>
        <v>-214.16666666666674</v>
      </c>
      <c r="M29" s="253"/>
      <c r="N29" s="253"/>
      <c r="O29" s="125">
        <f>SUM(O25:O28)</f>
        <v>272.84190476190474</v>
      </c>
      <c r="P29" s="126">
        <f>SUM(P25:P28)</f>
        <v>2192.841904761905</v>
      </c>
      <c r="Q29" s="127">
        <f t="shared" ref="Q29:S29" si="18">SUM(Q25:Q28)</f>
        <v>2192.841904761905</v>
      </c>
      <c r="R29" s="127">
        <f t="shared" si="18"/>
        <v>2720</v>
      </c>
      <c r="S29" s="127">
        <f t="shared" si="18"/>
        <v>-527.15809523809514</v>
      </c>
      <c r="T29" s="138"/>
      <c r="U29" s="138"/>
      <c r="V29" s="125">
        <f t="shared" ref="V29:Z29" si="19">SUM(V25:V28)</f>
        <v>177</v>
      </c>
      <c r="W29" s="126">
        <f t="shared" si="19"/>
        <v>1920</v>
      </c>
      <c r="X29" s="127">
        <f t="shared" si="19"/>
        <v>1600</v>
      </c>
      <c r="Y29" s="127">
        <f t="shared" si="19"/>
        <v>1689.55</v>
      </c>
      <c r="Z29" s="127">
        <f t="shared" si="19"/>
        <v>-89.550000000000068</v>
      </c>
      <c r="AA29" s="138"/>
      <c r="AB29" s="126">
        <f>SUM(AB25:AB28)</f>
        <v>1743</v>
      </c>
      <c r="AC29" s="127">
        <f t="shared" ref="AC29:AE29" si="20">SUM(AC25:AC28)</f>
        <v>1452.5</v>
      </c>
      <c r="AD29" s="127">
        <f t="shared" si="20"/>
        <v>1138</v>
      </c>
      <c r="AE29" s="127">
        <f t="shared" si="20"/>
        <v>314.50000000000011</v>
      </c>
      <c r="AG29" s="155">
        <f>SUM(B29:AF29)</f>
        <v>25314.859047619047</v>
      </c>
      <c r="AH29" s="156" t="s">
        <v>143</v>
      </c>
    </row>
    <row r="30" spans="1:34" x14ac:dyDescent="0.3">
      <c r="J30" s="32"/>
      <c r="K30" s="30"/>
      <c r="L30" s="30"/>
      <c r="O30" s="30"/>
      <c r="P30" s="30"/>
    </row>
    <row r="31" spans="1:34" x14ac:dyDescent="0.3">
      <c r="A31" s="233" t="str">
        <f>"* "&amp;Summary!$A$26</f>
        <v>* Inflation Factor, CPI to 16th September, 2020</v>
      </c>
      <c r="B31" s="233"/>
      <c r="C31" s="233"/>
      <c r="D31" s="233"/>
      <c r="E31" s="353">
        <f>Summary!$E$26</f>
        <v>5.0000000000000001E-3</v>
      </c>
      <c r="F31" s="201"/>
      <c r="G31" s="233"/>
      <c r="H31" s="436" t="str">
        <f>Summary!$H$26</f>
        <v>October, 2019</v>
      </c>
      <c r="I31" s="353">
        <f>Summary!$I$26</f>
        <v>1.7000000000000001E-2</v>
      </c>
      <c r="J31" s="311"/>
      <c r="K31" s="311"/>
      <c r="L31" s="311"/>
      <c r="M31" s="241"/>
      <c r="N31" s="241"/>
      <c r="O31" s="436" t="str">
        <f>Summary!$O$26</f>
        <v>October, 2018</v>
      </c>
      <c r="P31" s="353">
        <f>Summary!$P$26</f>
        <v>2.4E-2</v>
      </c>
    </row>
    <row r="33" spans="1:15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5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5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5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5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5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5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5" x14ac:dyDescent="0.3">
      <c r="A42"/>
      <c r="B42"/>
      <c r="C42"/>
      <c r="D42"/>
      <c r="E42"/>
      <c r="F42"/>
      <c r="G42"/>
      <c r="H42"/>
      <c r="I42"/>
      <c r="J42"/>
      <c r="K42"/>
      <c r="L42"/>
    </row>
    <row r="43" spans="1:15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5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15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15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5" ht="30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 s="355"/>
      <c r="N47" s="355"/>
      <c r="O47" s="355"/>
    </row>
    <row r="48" spans="1:15" ht="30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 s="355"/>
      <c r="N48" s="355"/>
      <c r="O48" s="355"/>
    </row>
    <row r="49" spans="1:15" ht="30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 s="355"/>
      <c r="N49" s="355"/>
      <c r="O49" s="355"/>
    </row>
  </sheetData>
  <mergeCells count="17">
    <mergeCell ref="H4:H5"/>
    <mergeCell ref="D3:E3"/>
    <mergeCell ref="D4:D5"/>
    <mergeCell ref="E4:E5"/>
    <mergeCell ref="H3:L3"/>
    <mergeCell ref="I4:J4"/>
    <mergeCell ref="O3:S3"/>
    <mergeCell ref="AB3:AE3"/>
    <mergeCell ref="O4:O5"/>
    <mergeCell ref="V4:V5"/>
    <mergeCell ref="W4:X4"/>
    <mergeCell ref="AB4:AC4"/>
    <mergeCell ref="X5:Z5"/>
    <mergeCell ref="AC5:AE5"/>
    <mergeCell ref="V3:Z3"/>
    <mergeCell ref="P4:Q4"/>
    <mergeCell ref="Q5:S5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8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H36"/>
  <sheetViews>
    <sheetView showGridLines="0" zoomScale="80" zoomScaleNormal="80" workbookViewId="0">
      <pane ySplit="5" topLeftCell="A15" activePane="bottomLeft" state="frozen"/>
      <selection activeCell="H32" sqref="H32:I32"/>
      <selection pane="bottomLeft" activeCell="S34" sqref="S34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664062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ht="21" x14ac:dyDescent="0.3">
      <c r="A1" s="54" t="s">
        <v>182</v>
      </c>
      <c r="B1" s="51"/>
      <c r="C1" s="51"/>
      <c r="D1" s="54" t="s">
        <v>172</v>
      </c>
      <c r="E1" s="233"/>
      <c r="F1" s="201"/>
      <c r="H1" s="181">
        <v>8</v>
      </c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234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x14ac:dyDescent="0.3">
      <c r="A7" s="76" t="s">
        <v>20</v>
      </c>
      <c r="B7" s="76"/>
      <c r="C7" s="76"/>
      <c r="D7" s="76"/>
      <c r="E7" s="76"/>
      <c r="F7" s="420"/>
      <c r="G7" s="76"/>
      <c r="H7" s="76"/>
      <c r="I7" s="314"/>
      <c r="J7" s="314"/>
      <c r="K7" s="76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33" t="s">
        <v>87</v>
      </c>
      <c r="B8" s="33"/>
      <c r="C8" s="33"/>
      <c r="D8" s="81">
        <f>E8-I8</f>
        <v>0</v>
      </c>
      <c r="E8" s="259">
        <f>I8</f>
        <v>440</v>
      </c>
      <c r="F8" s="303"/>
      <c r="G8" s="33"/>
      <c r="H8" s="81">
        <f>I8-P8</f>
        <v>0</v>
      </c>
      <c r="I8" s="276">
        <f>P8</f>
        <v>440</v>
      </c>
      <c r="J8" s="83">
        <f>I8/12*10</f>
        <v>366.66666666666663</v>
      </c>
      <c r="K8" s="268">
        <v>367</v>
      </c>
      <c r="L8" s="83">
        <f>J8-K8</f>
        <v>-0.33333333333337123</v>
      </c>
      <c r="M8" s="240"/>
      <c r="N8" s="240"/>
      <c r="O8" s="81">
        <f>P8-W8</f>
        <v>0</v>
      </c>
      <c r="P8" s="82">
        <v>440</v>
      </c>
      <c r="Q8" s="83">
        <f>P8</f>
        <v>440</v>
      </c>
      <c r="R8" s="348"/>
      <c r="S8" s="83">
        <f>Q8-R8</f>
        <v>440</v>
      </c>
      <c r="T8" s="79"/>
      <c r="U8" s="79"/>
      <c r="V8" s="77">
        <f>W8-AB8</f>
        <v>0</v>
      </c>
      <c r="W8" s="82">
        <v>440</v>
      </c>
      <c r="X8" s="83">
        <f>W8/12*10</f>
        <v>366.66666666666663</v>
      </c>
      <c r="Y8" s="83">
        <v>0</v>
      </c>
      <c r="Z8" s="83">
        <f>X8-Y8</f>
        <v>366.66666666666663</v>
      </c>
      <c r="AA8" s="79"/>
      <c r="AB8" s="78">
        <v>440</v>
      </c>
      <c r="AC8" s="83">
        <f>AB8/12*10</f>
        <v>366.66666666666663</v>
      </c>
      <c r="AD8" s="79">
        <v>0</v>
      </c>
      <c r="AE8" s="79">
        <f>AC8-AD8</f>
        <v>366.66666666666663</v>
      </c>
      <c r="AF8" s="11"/>
      <c r="AG8" s="233"/>
    </row>
    <row r="9" spans="1:34" x14ac:dyDescent="0.3">
      <c r="D9" s="81"/>
      <c r="E9" s="243"/>
      <c r="F9" s="303"/>
      <c r="H9" s="81"/>
      <c r="I9" s="303"/>
      <c r="J9" s="83"/>
      <c r="K9" s="83"/>
      <c r="L9" s="83"/>
      <c r="M9" s="243"/>
      <c r="N9" s="243"/>
      <c r="O9" s="81"/>
      <c r="P9" s="82"/>
      <c r="Q9" s="83"/>
      <c r="R9" s="348"/>
      <c r="S9" s="83"/>
      <c r="T9" s="79"/>
      <c r="U9" s="79"/>
      <c r="V9" s="77"/>
      <c r="W9" s="82"/>
      <c r="X9" s="83"/>
      <c r="Y9" s="83"/>
      <c r="Z9" s="83"/>
      <c r="AA9" s="79"/>
      <c r="AB9" s="78"/>
      <c r="AC9" s="83"/>
      <c r="AD9" s="79"/>
      <c r="AE9" s="79"/>
      <c r="AF9" s="11"/>
      <c r="AG9" s="6"/>
    </row>
    <row r="10" spans="1:34" ht="15" thickBot="1" x14ac:dyDescent="0.35">
      <c r="A10" s="135" t="s">
        <v>138</v>
      </c>
      <c r="B10" s="147"/>
      <c r="C10" s="147"/>
      <c r="D10" s="85">
        <f>SUM(D7:D9)</f>
        <v>0</v>
      </c>
      <c r="E10" s="86">
        <f>SUM(E7:E9)</f>
        <v>440</v>
      </c>
      <c r="F10" s="304"/>
      <c r="G10" s="147"/>
      <c r="H10" s="85">
        <f>SUM(H7:H9)</f>
        <v>0</v>
      </c>
      <c r="I10" s="331">
        <f>SUM(I7:I9)</f>
        <v>440</v>
      </c>
      <c r="J10" s="88">
        <f>SUM(J7:J9)</f>
        <v>366.66666666666663</v>
      </c>
      <c r="K10" s="88">
        <f>SUM(K7:K9)</f>
        <v>367</v>
      </c>
      <c r="L10" s="88">
        <f>SUM(L7:L9)</f>
        <v>-0.33333333333337123</v>
      </c>
      <c r="M10" s="100"/>
      <c r="N10" s="100"/>
      <c r="O10" s="85">
        <f>SUM(O7:O9)</f>
        <v>0</v>
      </c>
      <c r="P10" s="86">
        <f>SUM(P7:P9)</f>
        <v>440</v>
      </c>
      <c r="Q10" s="88">
        <f>SUM(Q7:Q9)</f>
        <v>440</v>
      </c>
      <c r="R10" s="349">
        <f>SUM(R7:R9)</f>
        <v>0</v>
      </c>
      <c r="S10" s="88">
        <f>SUM(S7:S9)</f>
        <v>440</v>
      </c>
      <c r="T10" s="79"/>
      <c r="U10" s="79"/>
      <c r="V10" s="85">
        <f>SUM(V7:V9)</f>
        <v>0</v>
      </c>
      <c r="W10" s="86">
        <f>SUM(W7:W9)</f>
        <v>440</v>
      </c>
      <c r="X10" s="88">
        <f>SUM(X7:X9)</f>
        <v>366.66666666666663</v>
      </c>
      <c r="Y10" s="88">
        <f>SUM(Y7:Y9)</f>
        <v>0</v>
      </c>
      <c r="Z10" s="88">
        <f>SUM(Z7:Z9)</f>
        <v>366.66666666666663</v>
      </c>
      <c r="AA10" s="79"/>
      <c r="AB10" s="86">
        <f>SUM(AB7:AB9)</f>
        <v>440</v>
      </c>
      <c r="AC10" s="88">
        <f>SUM(AC7:AC9)</f>
        <v>366.66666666666663</v>
      </c>
      <c r="AD10" s="88">
        <f>SUM(AD7:AD9)</f>
        <v>0</v>
      </c>
      <c r="AE10" s="88">
        <f>SUM(AE7:AE9)</f>
        <v>366.66666666666663</v>
      </c>
      <c r="AF10" s="11"/>
      <c r="AG10" s="233"/>
    </row>
    <row r="11" spans="1:34" x14ac:dyDescent="0.3">
      <c r="A11" s="33"/>
      <c r="B11" s="33"/>
      <c r="C11" s="33"/>
      <c r="D11" s="81"/>
      <c r="E11" s="243"/>
      <c r="F11" s="303"/>
      <c r="G11" s="33"/>
      <c r="H11" s="81"/>
      <c r="I11" s="303"/>
      <c r="J11" s="83"/>
      <c r="K11" s="83"/>
      <c r="L11" s="83"/>
      <c r="M11" s="243"/>
      <c r="N11" s="243"/>
      <c r="O11" s="81"/>
      <c r="P11" s="82"/>
      <c r="Q11" s="83"/>
      <c r="R11" s="348"/>
      <c r="S11" s="83"/>
      <c r="T11" s="79"/>
      <c r="U11" s="79"/>
      <c r="V11" s="81"/>
      <c r="W11" s="82"/>
      <c r="X11" s="83"/>
      <c r="Y11" s="83"/>
      <c r="Z11" s="83"/>
      <c r="AA11" s="79"/>
      <c r="AB11" s="82"/>
      <c r="AC11" s="83"/>
      <c r="AD11" s="83"/>
      <c r="AE11" s="83"/>
      <c r="AF11" s="11"/>
      <c r="AG11" s="233"/>
    </row>
    <row r="12" spans="1:34" ht="15.6" x14ac:dyDescent="0.3">
      <c r="A12" s="33" t="s">
        <v>95</v>
      </c>
      <c r="B12" s="33"/>
      <c r="C12" s="33"/>
      <c r="D12" s="81">
        <f>E12-I12</f>
        <v>1535</v>
      </c>
      <c r="E12" s="243">
        <f>Reserves!E18</f>
        <v>4000</v>
      </c>
      <c r="F12" s="303"/>
      <c r="G12" s="33"/>
      <c r="H12" s="81">
        <f>I12-P12</f>
        <v>-435</v>
      </c>
      <c r="I12" s="276">
        <v>2465</v>
      </c>
      <c r="J12" s="83">
        <f>I12/12*10</f>
        <v>2054.1666666666665</v>
      </c>
      <c r="K12" s="371">
        <f>J12</f>
        <v>2054.1666666666665</v>
      </c>
      <c r="L12" s="83">
        <f>J12-K12</f>
        <v>0</v>
      </c>
      <c r="M12" s="240"/>
      <c r="N12" s="240"/>
      <c r="O12" s="81">
        <f>P12-W12</f>
        <v>0</v>
      </c>
      <c r="P12" s="113">
        <v>2900</v>
      </c>
      <c r="Q12" s="83">
        <f>P12</f>
        <v>2900</v>
      </c>
      <c r="R12" s="348">
        <v>2900</v>
      </c>
      <c r="S12" s="83">
        <f>Q12-R12</f>
        <v>0</v>
      </c>
      <c r="T12" s="114"/>
      <c r="U12" s="114"/>
      <c r="V12" s="77">
        <f>W12-AB12</f>
        <v>0</v>
      </c>
      <c r="W12" s="113">
        <v>2900</v>
      </c>
      <c r="X12" s="83">
        <f>W12/12*10</f>
        <v>2416.6666666666665</v>
      </c>
      <c r="Y12" s="83">
        <v>0</v>
      </c>
      <c r="Z12" s="83">
        <f>X12-Y12</f>
        <v>2416.6666666666665</v>
      </c>
      <c r="AA12" s="79"/>
      <c r="AB12" s="78">
        <v>2900</v>
      </c>
      <c r="AC12" s="83">
        <f>AB12/12*10</f>
        <v>2416.6666666666665</v>
      </c>
      <c r="AD12" s="79">
        <v>2175</v>
      </c>
      <c r="AE12" s="79">
        <f>AC12-AD12</f>
        <v>241.66666666666652</v>
      </c>
      <c r="AG12" s="49" t="s">
        <v>228</v>
      </c>
    </row>
    <row r="13" spans="1:34" x14ac:dyDescent="0.3">
      <c r="A13" s="33"/>
      <c r="B13" s="33"/>
      <c r="C13" s="33"/>
      <c r="D13" s="112"/>
      <c r="E13" s="32"/>
      <c r="F13" s="315"/>
      <c r="G13" s="33"/>
      <c r="H13" s="112"/>
      <c r="J13" s="114"/>
      <c r="K13" s="114"/>
      <c r="L13" s="114"/>
      <c r="O13" s="112"/>
      <c r="P13" s="113"/>
      <c r="Q13" s="114"/>
      <c r="R13" s="114"/>
      <c r="S13" s="114"/>
      <c r="T13" s="114"/>
      <c r="U13" s="114"/>
      <c r="V13" s="112"/>
      <c r="W13" s="113"/>
      <c r="X13" s="114"/>
      <c r="Y13" s="114"/>
      <c r="Z13" s="114"/>
      <c r="AA13" s="114"/>
      <c r="AB13" s="113"/>
      <c r="AC13" s="114"/>
      <c r="AD13" s="114"/>
      <c r="AE13" s="114"/>
    </row>
    <row r="14" spans="1:34" ht="15" thickBot="1" x14ac:dyDescent="0.35">
      <c r="A14" s="135" t="s">
        <v>1</v>
      </c>
      <c r="B14" s="147"/>
      <c r="C14" s="147"/>
      <c r="D14" s="85">
        <f>SUM(D10:D13)</f>
        <v>1535</v>
      </c>
      <c r="E14" s="86">
        <f>SUM(E10:E13)</f>
        <v>4440</v>
      </c>
      <c r="F14" s="304"/>
      <c r="G14" s="147"/>
      <c r="H14" s="85">
        <f>SUM(H10:H13)</f>
        <v>-435</v>
      </c>
      <c r="I14" s="331">
        <f>SUM(I10:I13)</f>
        <v>2905</v>
      </c>
      <c r="J14" s="88">
        <f t="shared" ref="J14:L14" si="0">SUM(J10:J13)</f>
        <v>2420.833333333333</v>
      </c>
      <c r="K14" s="88">
        <f t="shared" si="0"/>
        <v>2421.1666666666665</v>
      </c>
      <c r="L14" s="88">
        <f t="shared" si="0"/>
        <v>-0.33333333333337123</v>
      </c>
      <c r="M14" s="100"/>
      <c r="N14" s="100"/>
      <c r="O14" s="85">
        <f>SUM(O10:O13)</f>
        <v>0</v>
      </c>
      <c r="P14" s="86">
        <f>SUM(P10:P13)</f>
        <v>3340</v>
      </c>
      <c r="Q14" s="88">
        <f t="shared" ref="Q14:S14" si="1">SUM(Q10:Q13)</f>
        <v>3340</v>
      </c>
      <c r="R14" s="88">
        <f t="shared" si="1"/>
        <v>2900</v>
      </c>
      <c r="S14" s="88">
        <f t="shared" si="1"/>
        <v>440</v>
      </c>
      <c r="T14" s="87"/>
      <c r="U14" s="87"/>
      <c r="V14" s="85">
        <f t="shared" ref="V14:Z14" si="2">SUM(V10:V13)</f>
        <v>0</v>
      </c>
      <c r="W14" s="86">
        <f t="shared" si="2"/>
        <v>3340</v>
      </c>
      <c r="X14" s="88">
        <f t="shared" si="2"/>
        <v>2783.333333333333</v>
      </c>
      <c r="Y14" s="88">
        <f t="shared" si="2"/>
        <v>0</v>
      </c>
      <c r="Z14" s="88">
        <f t="shared" si="2"/>
        <v>2783.333333333333</v>
      </c>
      <c r="AA14" s="87"/>
      <c r="AB14" s="86">
        <f t="shared" ref="AB14:AE14" si="3">SUM(AB10:AB13)</f>
        <v>3340</v>
      </c>
      <c r="AC14" s="88">
        <f t="shared" si="3"/>
        <v>2783.333333333333</v>
      </c>
      <c r="AD14" s="88">
        <f t="shared" si="3"/>
        <v>2175</v>
      </c>
      <c r="AE14" s="88">
        <f t="shared" si="3"/>
        <v>608.33333333333314</v>
      </c>
      <c r="AF14" s="13"/>
      <c r="AG14" s="155">
        <f>SUM(B14:AF14)</f>
        <v>41120</v>
      </c>
      <c r="AH14" s="156" t="s">
        <v>143</v>
      </c>
    </row>
    <row r="15" spans="1:34" x14ac:dyDescent="0.3">
      <c r="O15" s="30"/>
      <c r="P15" s="30"/>
    </row>
    <row r="16" spans="1:34" x14ac:dyDescent="0.3">
      <c r="A16" s="233" t="str">
        <f>"* "&amp;Summary!$A$26</f>
        <v>* Inflation Factor, CPI to 16th September, 2020</v>
      </c>
      <c r="B16" s="233"/>
      <c r="C16" s="233"/>
      <c r="D16" s="233"/>
      <c r="E16" s="353">
        <f>Summary!$E$26</f>
        <v>5.0000000000000001E-3</v>
      </c>
      <c r="F16" s="201"/>
      <c r="G16" s="233"/>
      <c r="H16" s="436" t="str">
        <f>Summary!$H$26</f>
        <v>October, 2019</v>
      </c>
      <c r="I16" s="353">
        <f>Summary!$I$26</f>
        <v>1.7000000000000001E-2</v>
      </c>
      <c r="J16" s="311"/>
      <c r="K16" s="311"/>
      <c r="L16" s="311"/>
      <c r="M16" s="241"/>
      <c r="N16" s="241"/>
      <c r="O16" s="436" t="str">
        <f>Summary!$O$26</f>
        <v>October, 2018</v>
      </c>
      <c r="P16" s="353">
        <f>Summary!$P$26</f>
        <v>2.4E-2</v>
      </c>
    </row>
    <row r="17" spans="1:16" x14ac:dyDescent="0.3">
      <c r="O17" s="30"/>
      <c r="P17" s="30"/>
    </row>
    <row r="18" spans="1:16" x14ac:dyDescent="0.3">
      <c r="O18" s="30"/>
      <c r="P18" s="30"/>
    </row>
    <row r="19" spans="1:16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30"/>
    </row>
    <row r="20" spans="1:16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30"/>
    </row>
    <row r="21" spans="1:16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30"/>
    </row>
    <row r="22" spans="1:16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0"/>
    </row>
    <row r="23" spans="1:16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30"/>
    </row>
    <row r="24" spans="1:16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0"/>
    </row>
    <row r="25" spans="1:16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30"/>
    </row>
    <row r="26" spans="1:16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0"/>
    </row>
    <row r="27" spans="1:16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0"/>
    </row>
    <row r="28" spans="1:16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0"/>
    </row>
    <row r="29" spans="1:16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0"/>
    </row>
    <row r="30" spans="1:16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0"/>
    </row>
    <row r="31" spans="1:16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0"/>
    </row>
    <row r="32" spans="1:16" ht="30" customHeigh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30" customHeigh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30" customHeigh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7">
    <mergeCell ref="H4:H5"/>
    <mergeCell ref="D3:E3"/>
    <mergeCell ref="D4:D5"/>
    <mergeCell ref="E4:E5"/>
    <mergeCell ref="H3:L3"/>
    <mergeCell ref="I4:J4"/>
    <mergeCell ref="O3:S3"/>
    <mergeCell ref="X5:Z5"/>
    <mergeCell ref="AC5:AE5"/>
    <mergeCell ref="AB3:AE3"/>
    <mergeCell ref="O4:O5"/>
    <mergeCell ref="V4:V5"/>
    <mergeCell ref="W4:X4"/>
    <mergeCell ref="AB4:AC4"/>
    <mergeCell ref="V3:Z3"/>
    <mergeCell ref="P4:Q4"/>
    <mergeCell ref="Q5:S5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8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I57"/>
  <sheetViews>
    <sheetView showGridLines="0" zoomScale="80" zoomScaleNormal="80" workbookViewId="0">
      <pane ySplit="5" topLeftCell="A33" activePane="bottomLeft" state="frozen"/>
      <selection activeCell="H32" sqref="H32:I32"/>
      <selection pane="bottomLeft" activeCell="R52" sqref="R52:R53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3320312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33" width="10.44140625" style="30" customWidth="1"/>
    <col min="34" max="16384" width="9.109375" style="30"/>
  </cols>
  <sheetData>
    <row r="1" spans="1:34" ht="21" x14ac:dyDescent="0.3">
      <c r="A1" s="54" t="s">
        <v>183</v>
      </c>
      <c r="B1" s="51"/>
      <c r="C1" s="51"/>
      <c r="D1" s="54" t="s">
        <v>172</v>
      </c>
      <c r="E1" s="233"/>
      <c r="F1" s="201"/>
      <c r="H1" s="181">
        <v>8</v>
      </c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Z1" s="233"/>
      <c r="AA1" s="233"/>
      <c r="AB1" s="233"/>
      <c r="AC1" s="233"/>
      <c r="AD1" s="233"/>
      <c r="AE1" s="233"/>
      <c r="AF1" s="233"/>
      <c r="AG1" s="233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234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x14ac:dyDescent="0.3">
      <c r="A6" s="21"/>
      <c r="B6" s="21"/>
      <c r="C6" s="21"/>
      <c r="D6" s="21"/>
      <c r="E6" s="21"/>
      <c r="F6" s="325"/>
      <c r="G6" s="21"/>
      <c r="H6" s="296"/>
      <c r="I6" s="301"/>
      <c r="J6" s="301"/>
      <c r="K6" s="301"/>
      <c r="L6" s="301"/>
      <c r="M6" s="288"/>
      <c r="N6" s="341"/>
      <c r="O6" s="296"/>
      <c r="P6" s="295"/>
      <c r="Q6" s="344"/>
      <c r="R6" s="290"/>
      <c r="S6" s="290"/>
      <c r="T6" s="290"/>
      <c r="U6" s="343"/>
      <c r="V6" s="293"/>
      <c r="W6" s="295"/>
      <c r="X6" s="344"/>
      <c r="Y6" s="290"/>
      <c r="Z6" s="290"/>
      <c r="AA6" s="21"/>
      <c r="AB6" s="295"/>
      <c r="AC6" s="291"/>
      <c r="AD6" s="290"/>
      <c r="AE6" s="290"/>
      <c r="AF6" s="289"/>
      <c r="AG6" s="23"/>
    </row>
    <row r="7" spans="1:34" x14ac:dyDescent="0.3">
      <c r="A7" s="76" t="s">
        <v>20</v>
      </c>
      <c r="B7" s="76"/>
      <c r="C7" s="76"/>
      <c r="D7" s="76"/>
      <c r="E7" s="314"/>
      <c r="F7" s="314"/>
      <c r="G7" s="76"/>
      <c r="H7" s="76"/>
      <c r="I7" s="314"/>
      <c r="J7" s="314"/>
      <c r="K7" s="314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80" t="s">
        <v>21</v>
      </c>
      <c r="B8" s="80"/>
      <c r="C8" s="80"/>
      <c r="D8" s="81">
        <f>E8-I8</f>
        <v>0</v>
      </c>
      <c r="E8" s="259">
        <v>768</v>
      </c>
      <c r="F8" s="303"/>
      <c r="G8" s="80"/>
      <c r="H8" s="81">
        <f>I8-P8</f>
        <v>133</v>
      </c>
      <c r="I8" s="303">
        <v>768</v>
      </c>
      <c r="J8" s="83">
        <f>I8/12*Summary!$H$30</f>
        <v>640</v>
      </c>
      <c r="K8" s="268">
        <v>512</v>
      </c>
      <c r="L8" s="83">
        <f>J8-K8</f>
        <v>128</v>
      </c>
      <c r="M8" s="243"/>
      <c r="N8" s="243"/>
      <c r="O8" s="81">
        <f>P8-W8</f>
        <v>-10</v>
      </c>
      <c r="P8" s="82">
        <v>635</v>
      </c>
      <c r="Q8" s="83">
        <f>P8</f>
        <v>635</v>
      </c>
      <c r="R8" s="348">
        <v>749</v>
      </c>
      <c r="S8" s="83">
        <f>Q8-R8</f>
        <v>-114</v>
      </c>
      <c r="T8" s="79"/>
      <c r="U8" s="79"/>
      <c r="V8" s="77">
        <f>W8-AB8</f>
        <v>100</v>
      </c>
      <c r="W8" s="82">
        <v>645</v>
      </c>
      <c r="X8" s="83">
        <f>W8/12*10</f>
        <v>537.5</v>
      </c>
      <c r="Y8" s="83">
        <v>400</v>
      </c>
      <c r="Z8" s="83">
        <f>X8-Y8</f>
        <v>137.5</v>
      </c>
      <c r="AA8" s="79"/>
      <c r="AB8" s="78">
        <v>545</v>
      </c>
      <c r="AC8" s="83">
        <f>AB8/12*10</f>
        <v>454.16666666666663</v>
      </c>
      <c r="AD8" s="79">
        <v>447.63</v>
      </c>
      <c r="AE8" s="79">
        <f>AC8-AD8</f>
        <v>6.5366666666666333</v>
      </c>
      <c r="AF8" s="11"/>
      <c r="AG8" s="73"/>
    </row>
    <row r="9" spans="1:34" x14ac:dyDescent="0.3">
      <c r="A9" s="80" t="s">
        <v>14</v>
      </c>
      <c r="B9" s="80"/>
      <c r="C9" s="80"/>
      <c r="D9" s="81">
        <f>E9-I9</f>
        <v>0</v>
      </c>
      <c r="E9" s="346">
        <v>90</v>
      </c>
      <c r="F9" s="393"/>
      <c r="G9" s="80"/>
      <c r="H9" s="81">
        <f>I9-P9</f>
        <v>-2.1599999999999966</v>
      </c>
      <c r="I9" s="303">
        <v>90</v>
      </c>
      <c r="J9" s="83">
        <f>I9/12*Summary!$H$30</f>
        <v>75</v>
      </c>
      <c r="K9" s="268">
        <v>30</v>
      </c>
      <c r="L9" s="83">
        <f>J9-K9</f>
        <v>45</v>
      </c>
      <c r="M9" s="243"/>
      <c r="N9" s="243"/>
      <c r="O9" s="81">
        <f>P9-W9</f>
        <v>2.1599999999999966</v>
      </c>
      <c r="P9" s="82">
        <f t="shared" ref="P9" si="0">W9+(W9*$P$33)</f>
        <v>92.16</v>
      </c>
      <c r="Q9" s="83">
        <f t="shared" ref="Q9:Q11" si="1">P9</f>
        <v>92.16</v>
      </c>
      <c r="R9" s="348">
        <v>90</v>
      </c>
      <c r="S9" s="83">
        <f>Q9-R9</f>
        <v>2.1599999999999966</v>
      </c>
      <c r="T9" s="79"/>
      <c r="U9" s="79"/>
      <c r="V9" s="77">
        <f t="shared" ref="V9:V11" si="2">W9-AB9</f>
        <v>0</v>
      </c>
      <c r="W9" s="82">
        <v>90</v>
      </c>
      <c r="X9" s="83">
        <f>W9/12*10</f>
        <v>75</v>
      </c>
      <c r="Y9" s="83">
        <v>60</v>
      </c>
      <c r="Z9" s="83">
        <f>X9-Y9</f>
        <v>15</v>
      </c>
      <c r="AA9" s="79"/>
      <c r="AB9" s="78">
        <v>90</v>
      </c>
      <c r="AC9" s="83">
        <f>AB9/12*10</f>
        <v>75</v>
      </c>
      <c r="AD9" s="79">
        <v>75</v>
      </c>
      <c r="AE9" s="79">
        <f>AC9-AD9</f>
        <v>0</v>
      </c>
      <c r="AF9" s="11"/>
      <c r="AG9" s="73"/>
      <c r="AH9" s="17"/>
    </row>
    <row r="10" spans="1:34" x14ac:dyDescent="0.3">
      <c r="A10" s="80" t="s">
        <v>15</v>
      </c>
      <c r="B10" s="80"/>
      <c r="C10" s="80"/>
      <c r="D10" s="81">
        <f>E10-I10</f>
        <v>66</v>
      </c>
      <c r="E10" s="346">
        <v>245</v>
      </c>
      <c r="F10" s="393"/>
      <c r="G10" s="80"/>
      <c r="H10" s="81">
        <f>I10-P10</f>
        <v>-321</v>
      </c>
      <c r="I10" s="303">
        <v>179</v>
      </c>
      <c r="J10" s="83">
        <f>I10/12*Summary!$H$30</f>
        <v>149.16666666666666</v>
      </c>
      <c r="K10" s="268">
        <v>247</v>
      </c>
      <c r="L10" s="83">
        <f>J10-K10</f>
        <v>-97.833333333333343</v>
      </c>
      <c r="M10" s="243"/>
      <c r="N10" s="243"/>
      <c r="O10" s="81">
        <f>P10-W10</f>
        <v>-100</v>
      </c>
      <c r="P10" s="82">
        <v>500</v>
      </c>
      <c r="Q10" s="83">
        <f t="shared" si="1"/>
        <v>500</v>
      </c>
      <c r="R10" s="348">
        <v>191</v>
      </c>
      <c r="S10" s="83">
        <f>Q10-R10</f>
        <v>309</v>
      </c>
      <c r="T10" s="79"/>
      <c r="U10" s="79"/>
      <c r="V10" s="77">
        <f t="shared" si="2"/>
        <v>0</v>
      </c>
      <c r="W10" s="82">
        <v>600</v>
      </c>
      <c r="X10" s="83">
        <f>W10/12*10</f>
        <v>500</v>
      </c>
      <c r="Y10" s="83">
        <v>362.12</v>
      </c>
      <c r="Z10" s="83">
        <f>X10-Y10</f>
        <v>137.88</v>
      </c>
      <c r="AA10" s="79"/>
      <c r="AB10" s="78">
        <v>600</v>
      </c>
      <c r="AC10" s="83">
        <f>AB10/12*10</f>
        <v>500</v>
      </c>
      <c r="AD10" s="79">
        <v>146.16999999999999</v>
      </c>
      <c r="AE10" s="79">
        <f>AC10-AD10</f>
        <v>353.83000000000004</v>
      </c>
      <c r="AF10" s="11"/>
      <c r="AG10" s="145"/>
    </row>
    <row r="11" spans="1:34" x14ac:dyDescent="0.3">
      <c r="A11" s="80" t="s">
        <v>127</v>
      </c>
      <c r="B11" s="80"/>
      <c r="C11" s="80"/>
      <c r="D11" s="81">
        <f>E11-I11</f>
        <v>0</v>
      </c>
      <c r="E11" s="259">
        <v>168</v>
      </c>
      <c r="F11" s="303"/>
      <c r="G11" s="80"/>
      <c r="H11" s="81">
        <f>I11-P11</f>
        <v>0</v>
      </c>
      <c r="I11" s="303">
        <v>168</v>
      </c>
      <c r="J11" s="83">
        <f>I11/12*Summary!$H$30</f>
        <v>140</v>
      </c>
      <c r="K11" s="268">
        <v>168</v>
      </c>
      <c r="L11" s="83">
        <f>J11-K11</f>
        <v>-28</v>
      </c>
      <c r="M11" s="243"/>
      <c r="N11" s="243"/>
      <c r="O11" s="81">
        <f>P11-W11</f>
        <v>168</v>
      </c>
      <c r="P11" s="82">
        <f>140*1.2</f>
        <v>168</v>
      </c>
      <c r="Q11" s="83">
        <f t="shared" si="1"/>
        <v>168</v>
      </c>
      <c r="R11" s="348">
        <v>168</v>
      </c>
      <c r="S11" s="83">
        <f>Q11-R11</f>
        <v>0</v>
      </c>
      <c r="T11" s="79"/>
      <c r="U11" s="79"/>
      <c r="V11" s="77">
        <f t="shared" si="2"/>
        <v>0</v>
      </c>
      <c r="W11" s="82">
        <v>0</v>
      </c>
      <c r="X11" s="83">
        <f>W11/12*10</f>
        <v>0</v>
      </c>
      <c r="Y11" s="83">
        <v>0</v>
      </c>
      <c r="Z11" s="83">
        <f>X11-Y11</f>
        <v>0</v>
      </c>
      <c r="AA11" s="79"/>
      <c r="AB11" s="78">
        <v>0</v>
      </c>
      <c r="AC11" s="83">
        <f>AB11/12*10</f>
        <v>0</v>
      </c>
      <c r="AD11" s="79">
        <v>0</v>
      </c>
      <c r="AE11" s="79">
        <f>AC11-AD11</f>
        <v>0</v>
      </c>
      <c r="AF11" s="11"/>
      <c r="AG11" s="35"/>
    </row>
    <row r="12" spans="1:34" x14ac:dyDescent="0.3">
      <c r="A12" s="80"/>
      <c r="B12" s="80"/>
      <c r="C12" s="80"/>
      <c r="D12" s="81"/>
      <c r="E12" s="243"/>
      <c r="F12" s="303"/>
      <c r="G12" s="80"/>
      <c r="H12" s="81"/>
      <c r="I12" s="303"/>
      <c r="J12" s="83"/>
      <c r="K12" s="83"/>
      <c r="L12" s="83"/>
      <c r="M12" s="243"/>
      <c r="N12" s="243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  <c r="AG12" s="35"/>
    </row>
    <row r="13" spans="1:34" ht="15" thickBot="1" x14ac:dyDescent="0.35">
      <c r="A13" s="76"/>
      <c r="B13" s="76"/>
      <c r="C13" s="76"/>
      <c r="D13" s="85">
        <f>SUM(D7:D12)</f>
        <v>66</v>
      </c>
      <c r="E13" s="86">
        <f>SUM(E7:E12)</f>
        <v>1271</v>
      </c>
      <c r="F13" s="304"/>
      <c r="G13" s="76"/>
      <c r="H13" s="85">
        <f>SUM(H7:H12)</f>
        <v>-190.16</v>
      </c>
      <c r="I13" s="331">
        <f>SUM(I7:I12)</f>
        <v>1205</v>
      </c>
      <c r="J13" s="88">
        <f t="shared" ref="J13:L13" si="3">SUM(J7:J12)</f>
        <v>1004.1666666666666</v>
      </c>
      <c r="K13" s="88">
        <f t="shared" si="3"/>
        <v>957</v>
      </c>
      <c r="L13" s="88">
        <f t="shared" si="3"/>
        <v>47.166666666666657</v>
      </c>
      <c r="M13" s="100"/>
      <c r="N13" s="100"/>
      <c r="O13" s="85">
        <f>SUM(O7:O12)</f>
        <v>60.16</v>
      </c>
      <c r="P13" s="86">
        <f>SUM(P7:P12)</f>
        <v>1395.1599999999999</v>
      </c>
      <c r="Q13" s="88">
        <f t="shared" ref="Q13:S13" si="4">SUM(Q7:Q12)</f>
        <v>1395.1599999999999</v>
      </c>
      <c r="R13" s="349">
        <f t="shared" si="4"/>
        <v>1198</v>
      </c>
      <c r="S13" s="88">
        <f t="shared" si="4"/>
        <v>197.16</v>
      </c>
      <c r="T13" s="87"/>
      <c r="U13" s="87"/>
      <c r="V13" s="85">
        <f t="shared" ref="V13:Z13" si="5">SUM(V7:V12)</f>
        <v>100</v>
      </c>
      <c r="W13" s="86">
        <f t="shared" si="5"/>
        <v>1335</v>
      </c>
      <c r="X13" s="88">
        <f t="shared" si="5"/>
        <v>1112.5</v>
      </c>
      <c r="Y13" s="88">
        <f t="shared" si="5"/>
        <v>822.12</v>
      </c>
      <c r="Z13" s="88">
        <f t="shared" si="5"/>
        <v>290.38</v>
      </c>
      <c r="AA13" s="87"/>
      <c r="AB13" s="98">
        <f t="shared" ref="AB13:AE13" si="6">SUM(AB7:AB12)</f>
        <v>1235</v>
      </c>
      <c r="AC13" s="88">
        <f t="shared" si="6"/>
        <v>1029.1666666666665</v>
      </c>
      <c r="AD13" s="88">
        <f t="shared" si="6"/>
        <v>668.8</v>
      </c>
      <c r="AE13" s="88">
        <f t="shared" si="6"/>
        <v>360.36666666666667</v>
      </c>
      <c r="AF13" s="13"/>
      <c r="AG13" s="35"/>
    </row>
    <row r="14" spans="1:34" x14ac:dyDescent="0.3">
      <c r="A14" s="76"/>
      <c r="B14" s="76"/>
      <c r="C14" s="76"/>
      <c r="D14" s="99"/>
      <c r="E14" s="242"/>
      <c r="F14" s="314"/>
      <c r="G14" s="76"/>
      <c r="H14" s="99"/>
      <c r="I14" s="314"/>
      <c r="J14" s="102"/>
      <c r="K14" s="102"/>
      <c r="L14" s="102"/>
      <c r="M14" s="242"/>
      <c r="N14" s="242"/>
      <c r="O14" s="99"/>
      <c r="P14" s="100"/>
      <c r="Q14" s="102"/>
      <c r="R14" s="350"/>
      <c r="S14" s="102"/>
      <c r="T14" s="87"/>
      <c r="U14" s="87"/>
      <c r="V14" s="99"/>
      <c r="W14" s="100"/>
      <c r="X14" s="102"/>
      <c r="Y14" s="102"/>
      <c r="Z14" s="102"/>
      <c r="AA14" s="87"/>
      <c r="AB14" s="128"/>
      <c r="AC14" s="102"/>
      <c r="AD14" s="102"/>
      <c r="AE14" s="102"/>
      <c r="AF14" s="13"/>
      <c r="AG14" s="35"/>
    </row>
    <row r="15" spans="1:34" x14ac:dyDescent="0.3">
      <c r="A15" s="42" t="s">
        <v>23</v>
      </c>
      <c r="D15" s="31"/>
      <c r="E15" s="32"/>
      <c r="F15" s="315"/>
      <c r="G15" s="42"/>
      <c r="H15" s="31"/>
      <c r="J15" s="30"/>
      <c r="K15" s="30"/>
      <c r="L15" s="30"/>
      <c r="O15" s="31"/>
      <c r="Q15" s="30"/>
      <c r="R15" s="361"/>
      <c r="V15" s="31"/>
      <c r="W15" s="32"/>
      <c r="AB15" s="32"/>
      <c r="AG15" s="35"/>
    </row>
    <row r="16" spans="1:34" x14ac:dyDescent="0.3">
      <c r="A16" s="48" t="s">
        <v>22</v>
      </c>
      <c r="B16" s="80"/>
      <c r="C16" s="80"/>
      <c r="D16" s="81">
        <f t="shared" ref="D16:D21" si="7">E16-I16</f>
        <v>-300</v>
      </c>
      <c r="E16" s="346">
        <v>200</v>
      </c>
      <c r="F16" s="393"/>
      <c r="G16" s="48"/>
      <c r="H16" s="81">
        <f t="shared" ref="H16:H21" si="8">I16-P16</f>
        <v>90.399999999999977</v>
      </c>
      <c r="I16" s="303">
        <v>500</v>
      </c>
      <c r="J16" s="83">
        <f>I16/12*Summary!$H$30</f>
        <v>416.66666666666663</v>
      </c>
      <c r="K16" s="268">
        <v>75</v>
      </c>
      <c r="L16" s="83">
        <f t="shared" ref="L16:L21" si="9">J16-K16</f>
        <v>341.66666666666663</v>
      </c>
      <c r="M16" s="243"/>
      <c r="N16" s="243"/>
      <c r="O16" s="81">
        <f t="shared" ref="O16:O21" si="10">P16-W16</f>
        <v>9.6000000000000227</v>
      </c>
      <c r="P16" s="82">
        <f>W16+(W16*$P$33)</f>
        <v>409.6</v>
      </c>
      <c r="Q16" s="83">
        <f>P16</f>
        <v>409.6</v>
      </c>
      <c r="R16" s="348">
        <v>1102</v>
      </c>
      <c r="S16" s="83">
        <f t="shared" ref="S16:S21" si="11">Q16-R16</f>
        <v>-692.4</v>
      </c>
      <c r="V16" s="77">
        <f t="shared" ref="V16:V21" si="12">W16-AB16</f>
        <v>-100</v>
      </c>
      <c r="W16" s="34">
        <v>400</v>
      </c>
      <c r="X16" s="83">
        <f t="shared" ref="X16:X21" si="13">W16/12*10</f>
        <v>333.33333333333337</v>
      </c>
      <c r="Y16" s="83">
        <v>51.09</v>
      </c>
      <c r="Z16" s="83">
        <f t="shared" ref="Z16:Z21" si="14">X16-Y16</f>
        <v>282.24333333333334</v>
      </c>
      <c r="AB16" s="34">
        <v>500</v>
      </c>
      <c r="AC16" s="83">
        <f t="shared" ref="AC16:AC21" si="15">AB16/12*10</f>
        <v>416.66666666666663</v>
      </c>
      <c r="AD16" s="35">
        <v>35</v>
      </c>
      <c r="AE16" s="79">
        <f t="shared" ref="AE16:AE21" si="16">AC16-AD16</f>
        <v>381.66666666666663</v>
      </c>
      <c r="AG16" s="35"/>
    </row>
    <row r="17" spans="1:35" x14ac:dyDescent="0.3">
      <c r="A17" s="48" t="s">
        <v>16</v>
      </c>
      <c r="B17" s="80"/>
      <c r="C17" s="80"/>
      <c r="D17" s="81">
        <f t="shared" si="7"/>
        <v>0</v>
      </c>
      <c r="E17" s="346">
        <v>50</v>
      </c>
      <c r="F17" s="393"/>
      <c r="G17" s="48"/>
      <c r="H17" s="81">
        <f t="shared" si="8"/>
        <v>-1.2000000000000028</v>
      </c>
      <c r="I17" s="303">
        <v>50</v>
      </c>
      <c r="J17" s="83">
        <f>I17/12*Summary!$H$30</f>
        <v>41.666666666666671</v>
      </c>
      <c r="K17" s="268">
        <v>0</v>
      </c>
      <c r="L17" s="83">
        <f t="shared" si="9"/>
        <v>41.666666666666671</v>
      </c>
      <c r="M17" s="243"/>
      <c r="N17" s="243"/>
      <c r="O17" s="81">
        <f t="shared" si="10"/>
        <v>1.2000000000000028</v>
      </c>
      <c r="P17" s="82">
        <f t="shared" ref="P17:P19" si="17">W17+(W17*$P$33)</f>
        <v>51.2</v>
      </c>
      <c r="Q17" s="83">
        <f t="shared" ref="Q17:Q21" si="18">P17</f>
        <v>51.2</v>
      </c>
      <c r="R17" s="348">
        <v>0</v>
      </c>
      <c r="S17" s="83">
        <f t="shared" si="11"/>
        <v>51.2</v>
      </c>
      <c r="V17" s="77">
        <f t="shared" si="12"/>
        <v>0</v>
      </c>
      <c r="W17" s="34">
        <v>50</v>
      </c>
      <c r="X17" s="83">
        <f t="shared" si="13"/>
        <v>41.666666666666671</v>
      </c>
      <c r="Y17" s="83">
        <v>0</v>
      </c>
      <c r="Z17" s="83">
        <f t="shared" si="14"/>
        <v>41.666666666666671</v>
      </c>
      <c r="AB17" s="34">
        <v>50</v>
      </c>
      <c r="AC17" s="83">
        <f t="shared" si="15"/>
        <v>41.666666666666671</v>
      </c>
      <c r="AD17" s="35">
        <v>0</v>
      </c>
      <c r="AE17" s="79">
        <f t="shared" si="16"/>
        <v>41.666666666666671</v>
      </c>
      <c r="AG17" s="35"/>
    </row>
    <row r="18" spans="1:35" x14ac:dyDescent="0.3">
      <c r="A18" s="48" t="s">
        <v>12</v>
      </c>
      <c r="B18" s="80"/>
      <c r="C18" s="80"/>
      <c r="D18" s="81">
        <f t="shared" si="7"/>
        <v>0</v>
      </c>
      <c r="E18" s="346">
        <v>100</v>
      </c>
      <c r="F18" s="393"/>
      <c r="G18" s="48"/>
      <c r="H18" s="81">
        <f t="shared" si="8"/>
        <v>-2.4000000000000057</v>
      </c>
      <c r="I18" s="303">
        <v>100</v>
      </c>
      <c r="J18" s="83">
        <f>I18/12*Summary!$H$30</f>
        <v>83.333333333333343</v>
      </c>
      <c r="K18" s="268">
        <v>0</v>
      </c>
      <c r="L18" s="83">
        <f t="shared" si="9"/>
        <v>83.333333333333343</v>
      </c>
      <c r="M18" s="243"/>
      <c r="N18" s="243"/>
      <c r="O18" s="81">
        <f t="shared" si="10"/>
        <v>2.4000000000000057</v>
      </c>
      <c r="P18" s="82">
        <f t="shared" si="17"/>
        <v>102.4</v>
      </c>
      <c r="Q18" s="83">
        <f t="shared" si="18"/>
        <v>102.4</v>
      </c>
      <c r="R18" s="348">
        <v>89</v>
      </c>
      <c r="S18" s="83">
        <f t="shared" si="11"/>
        <v>13.400000000000006</v>
      </c>
      <c r="V18" s="77">
        <f t="shared" si="12"/>
        <v>47</v>
      </c>
      <c r="W18" s="34">
        <v>100</v>
      </c>
      <c r="X18" s="83">
        <f t="shared" si="13"/>
        <v>83.333333333333343</v>
      </c>
      <c r="Y18" s="83">
        <v>90</v>
      </c>
      <c r="Z18" s="83">
        <f t="shared" si="14"/>
        <v>-6.6666666666666572</v>
      </c>
      <c r="AB18" s="34">
        <v>53</v>
      </c>
      <c r="AC18" s="83">
        <f t="shared" si="15"/>
        <v>44.166666666666671</v>
      </c>
      <c r="AD18" s="35">
        <v>90</v>
      </c>
      <c r="AE18" s="79">
        <f t="shared" si="16"/>
        <v>-45.833333333333329</v>
      </c>
      <c r="AG18" s="35"/>
    </row>
    <row r="19" spans="1:35" x14ac:dyDescent="0.3">
      <c r="A19" s="48" t="s">
        <v>41</v>
      </c>
      <c r="B19" s="80"/>
      <c r="C19" s="80"/>
      <c r="D19" s="81">
        <f t="shared" si="7"/>
        <v>0</v>
      </c>
      <c r="E19" s="346">
        <v>50</v>
      </c>
      <c r="F19" s="393"/>
      <c r="G19" s="48"/>
      <c r="H19" s="81">
        <f t="shared" si="8"/>
        <v>-1.2000000000000028</v>
      </c>
      <c r="I19" s="303">
        <v>50</v>
      </c>
      <c r="J19" s="83">
        <f>I19/12*Summary!$H$30</f>
        <v>41.666666666666671</v>
      </c>
      <c r="K19" s="268">
        <v>0</v>
      </c>
      <c r="L19" s="83">
        <f t="shared" si="9"/>
        <v>41.666666666666671</v>
      </c>
      <c r="M19" s="243"/>
      <c r="N19" s="243"/>
      <c r="O19" s="81">
        <f t="shared" si="10"/>
        <v>1.2000000000000028</v>
      </c>
      <c r="P19" s="82">
        <f t="shared" si="17"/>
        <v>51.2</v>
      </c>
      <c r="Q19" s="83">
        <f t="shared" si="18"/>
        <v>51.2</v>
      </c>
      <c r="R19" s="348">
        <v>67</v>
      </c>
      <c r="S19" s="83">
        <f t="shared" si="11"/>
        <v>-15.799999999999997</v>
      </c>
      <c r="V19" s="77">
        <f t="shared" si="12"/>
        <v>0</v>
      </c>
      <c r="W19" s="34">
        <v>50</v>
      </c>
      <c r="X19" s="83">
        <f t="shared" si="13"/>
        <v>41.666666666666671</v>
      </c>
      <c r="Y19" s="83">
        <v>30</v>
      </c>
      <c r="Z19" s="83">
        <f t="shared" si="14"/>
        <v>11.666666666666671</v>
      </c>
      <c r="AB19" s="34">
        <v>50</v>
      </c>
      <c r="AC19" s="83">
        <f t="shared" si="15"/>
        <v>41.666666666666671</v>
      </c>
      <c r="AD19" s="35">
        <v>250</v>
      </c>
      <c r="AE19" s="79">
        <f t="shared" si="16"/>
        <v>-208.33333333333331</v>
      </c>
    </row>
    <row r="20" spans="1:35" x14ac:dyDescent="0.3">
      <c r="A20" s="48" t="s">
        <v>107</v>
      </c>
      <c r="D20" s="81">
        <f t="shared" si="7"/>
        <v>0</v>
      </c>
      <c r="E20" s="258">
        <v>0</v>
      </c>
      <c r="F20" s="315"/>
      <c r="G20" s="48"/>
      <c r="H20" s="81">
        <f t="shared" si="8"/>
        <v>0</v>
      </c>
      <c r="J20" s="83">
        <f>I20/12*Summary!$H$30</f>
        <v>0</v>
      </c>
      <c r="K20" s="268">
        <v>0</v>
      </c>
      <c r="L20" s="83">
        <f t="shared" si="9"/>
        <v>0</v>
      </c>
      <c r="O20" s="81">
        <f t="shared" si="10"/>
        <v>-500</v>
      </c>
      <c r="P20" s="34">
        <v>0</v>
      </c>
      <c r="Q20" s="83">
        <f t="shared" si="18"/>
        <v>0</v>
      </c>
      <c r="R20" s="348">
        <v>0</v>
      </c>
      <c r="S20" s="83">
        <f t="shared" si="11"/>
        <v>0</v>
      </c>
      <c r="V20" s="77">
        <f t="shared" si="12"/>
        <v>500</v>
      </c>
      <c r="W20" s="34">
        <v>500</v>
      </c>
      <c r="X20" s="83">
        <f t="shared" si="13"/>
        <v>416.66666666666663</v>
      </c>
      <c r="Y20" s="83">
        <v>416.7</v>
      </c>
      <c r="Z20" s="83">
        <f t="shared" si="14"/>
        <v>-3.333333333335986E-2</v>
      </c>
      <c r="AB20" s="34">
        <v>0</v>
      </c>
      <c r="AC20" s="83">
        <f t="shared" si="15"/>
        <v>0</v>
      </c>
      <c r="AD20" s="35">
        <v>530.4</v>
      </c>
      <c r="AE20" s="79">
        <f t="shared" si="16"/>
        <v>-530.4</v>
      </c>
      <c r="AG20" s="35"/>
      <c r="AI20" s="46"/>
    </row>
    <row r="21" spans="1:35" x14ac:dyDescent="0.3">
      <c r="A21" s="48" t="s">
        <v>126</v>
      </c>
      <c r="D21" s="81">
        <f t="shared" si="7"/>
        <v>0</v>
      </c>
      <c r="E21" s="258">
        <v>0</v>
      </c>
      <c r="F21" s="315"/>
      <c r="G21" s="48"/>
      <c r="H21" s="81">
        <f t="shared" si="8"/>
        <v>-128.76190476190476</v>
      </c>
      <c r="I21" s="315">
        <v>0</v>
      </c>
      <c r="J21" s="83">
        <f>I21/12*Summary!$H$30</f>
        <v>0</v>
      </c>
      <c r="K21" s="268">
        <v>0</v>
      </c>
      <c r="L21" s="83">
        <f t="shared" si="9"/>
        <v>0</v>
      </c>
      <c r="O21" s="81">
        <f t="shared" si="10"/>
        <v>128.76190476190476</v>
      </c>
      <c r="P21" s="34">
        <f>Reserves!X19</f>
        <v>128.76190476190476</v>
      </c>
      <c r="Q21" s="83">
        <f t="shared" si="18"/>
        <v>128.76190476190476</v>
      </c>
      <c r="R21" s="348">
        <v>164</v>
      </c>
      <c r="S21" s="83">
        <f t="shared" si="11"/>
        <v>-35.238095238095241</v>
      </c>
      <c r="V21" s="77">
        <f t="shared" si="12"/>
        <v>0</v>
      </c>
      <c r="W21" s="34">
        <v>0</v>
      </c>
      <c r="X21" s="83">
        <f t="shared" si="13"/>
        <v>0</v>
      </c>
      <c r="Y21" s="83"/>
      <c r="Z21" s="83">
        <f t="shared" si="14"/>
        <v>0</v>
      </c>
      <c r="AB21" s="34">
        <v>0</v>
      </c>
      <c r="AC21" s="83">
        <f t="shared" si="15"/>
        <v>0</v>
      </c>
      <c r="AD21" s="35">
        <v>0</v>
      </c>
      <c r="AE21" s="79">
        <f t="shared" si="16"/>
        <v>0</v>
      </c>
      <c r="AG21" s="35"/>
      <c r="AH21" s="145"/>
    </row>
    <row r="22" spans="1:35" x14ac:dyDescent="0.3">
      <c r="A22" s="48"/>
      <c r="D22" s="31"/>
      <c r="E22" s="32"/>
      <c r="F22" s="315"/>
      <c r="G22" s="48"/>
      <c r="H22" s="31"/>
      <c r="J22" s="30"/>
      <c r="K22" s="30"/>
      <c r="L22" s="30"/>
      <c r="O22" s="31"/>
      <c r="P22" s="34"/>
      <c r="Q22" s="30"/>
      <c r="R22" s="361"/>
      <c r="V22" s="31"/>
      <c r="W22" s="34"/>
      <c r="AB22" s="34"/>
      <c r="AD22" s="35"/>
      <c r="AG22" s="35"/>
    </row>
    <row r="23" spans="1:35" ht="15" thickBot="1" x14ac:dyDescent="0.35">
      <c r="A23" s="135" t="s">
        <v>140</v>
      </c>
      <c r="D23" s="36">
        <f>SUM(D15:D22)</f>
        <v>-300</v>
      </c>
      <c r="E23" s="37">
        <f>SUM(E15:E22)</f>
        <v>400</v>
      </c>
      <c r="F23" s="418"/>
      <c r="G23" s="147"/>
      <c r="H23" s="36">
        <f>SUM(H15:H22)</f>
        <v>-43.161904761904793</v>
      </c>
      <c r="I23" s="332">
        <f>SUM(I15:I22)</f>
        <v>700</v>
      </c>
      <c r="J23" s="38">
        <f>SUM(J15:J22)</f>
        <v>583.33333333333326</v>
      </c>
      <c r="K23" s="38">
        <f>SUM(K15:K22)</f>
        <v>75</v>
      </c>
      <c r="L23" s="38">
        <f>SUM(L15:L22)</f>
        <v>508.33333333333331</v>
      </c>
      <c r="M23" s="39"/>
      <c r="N23" s="39"/>
      <c r="O23" s="36">
        <f>SUM(O15:O22)</f>
        <v>-356.83809523809521</v>
      </c>
      <c r="P23" s="37">
        <f>SUM(P15:P22)</f>
        <v>743.16190476190491</v>
      </c>
      <c r="Q23" s="38">
        <f>SUM(Q15:Q22)</f>
        <v>743.16190476190491</v>
      </c>
      <c r="R23" s="382">
        <f>SUM(R15:R22)</f>
        <v>1422</v>
      </c>
      <c r="S23" s="38">
        <f>SUM(S15:S22)</f>
        <v>-678.83809523809509</v>
      </c>
      <c r="V23" s="36">
        <f>SUM(V15:V22)</f>
        <v>447</v>
      </c>
      <c r="W23" s="37">
        <f>SUM(W15:W22)</f>
        <v>1100</v>
      </c>
      <c r="X23" s="38">
        <f>SUM(X15:X22)</f>
        <v>916.66666666666674</v>
      </c>
      <c r="Y23" s="38">
        <f>SUM(Y15:Y22)</f>
        <v>587.79</v>
      </c>
      <c r="Z23" s="38">
        <f>SUM(Z15:Z22)</f>
        <v>328.87666666666667</v>
      </c>
      <c r="AB23" s="37">
        <f>SUM(AB15:AB22)</f>
        <v>653</v>
      </c>
      <c r="AC23" s="38">
        <f>SUM(AC15:AC22)</f>
        <v>544.16666666666663</v>
      </c>
      <c r="AD23" s="38">
        <f>SUM(AD15:AD22)</f>
        <v>905.4</v>
      </c>
      <c r="AE23" s="38">
        <f>SUM(AE15:AE22)</f>
        <v>-361.23333333333329</v>
      </c>
      <c r="AG23" s="35"/>
    </row>
    <row r="24" spans="1:35" x14ac:dyDescent="0.3">
      <c r="A24" s="33"/>
      <c r="D24" s="31"/>
      <c r="E24" s="32"/>
      <c r="F24" s="315"/>
      <c r="G24" s="33"/>
      <c r="H24" s="31"/>
      <c r="J24" s="30"/>
      <c r="K24" s="30"/>
      <c r="L24" s="30"/>
      <c r="O24" s="31"/>
      <c r="P24" s="39"/>
      <c r="Q24" s="30"/>
      <c r="R24" s="361"/>
      <c r="V24" s="31"/>
      <c r="W24" s="39"/>
      <c r="AB24" s="39"/>
      <c r="AD24" s="40"/>
      <c r="AG24" s="35"/>
    </row>
    <row r="25" spans="1:35" x14ac:dyDescent="0.3">
      <c r="A25" s="48" t="s">
        <v>87</v>
      </c>
      <c r="D25" s="81">
        <f>E25-I25</f>
        <v>0</v>
      </c>
      <c r="E25" s="259">
        <f>I25</f>
        <v>440</v>
      </c>
      <c r="F25" s="303"/>
      <c r="G25" s="48"/>
      <c r="H25" s="81">
        <f>I25-P25</f>
        <v>0</v>
      </c>
      <c r="I25" s="276">
        <f>P25</f>
        <v>440</v>
      </c>
      <c r="J25" s="83">
        <f>I25/12*Summary!$H$30</f>
        <v>366.66666666666663</v>
      </c>
      <c r="K25" s="268">
        <v>367</v>
      </c>
      <c r="L25" s="83">
        <f t="shared" ref="L25" si="19">J25-K25</f>
        <v>-0.33333333333337123</v>
      </c>
      <c r="M25" s="240"/>
      <c r="N25" s="240"/>
      <c r="O25" s="81">
        <f>P25-W25</f>
        <v>0</v>
      </c>
      <c r="P25" s="39">
        <v>440</v>
      </c>
      <c r="Q25" s="83">
        <f>P25</f>
        <v>440</v>
      </c>
      <c r="R25" s="348">
        <v>400</v>
      </c>
      <c r="S25" s="83">
        <f t="shared" ref="S25" si="20">Q25-R25</f>
        <v>40</v>
      </c>
      <c r="V25" s="77">
        <f t="shared" ref="V25" si="21">W25-AB25</f>
        <v>0</v>
      </c>
      <c r="W25" s="39">
        <v>440</v>
      </c>
      <c r="X25" s="83">
        <f t="shared" ref="X25" si="22">W25/12*10</f>
        <v>366.66666666666663</v>
      </c>
      <c r="Y25" s="83">
        <v>0</v>
      </c>
      <c r="Z25" s="83">
        <f t="shared" ref="Z25" si="23">X25-Y25</f>
        <v>366.66666666666663</v>
      </c>
      <c r="AB25" s="39">
        <v>440</v>
      </c>
      <c r="AC25" s="83">
        <f>AB25/12*10</f>
        <v>366.66666666666663</v>
      </c>
      <c r="AD25" s="30">
        <v>0</v>
      </c>
      <c r="AE25" s="79">
        <f>AC25-AD25</f>
        <v>366.66666666666663</v>
      </c>
      <c r="AG25" s="35"/>
    </row>
    <row r="26" spans="1:35" x14ac:dyDescent="0.3">
      <c r="A26" s="33"/>
      <c r="D26" s="31"/>
      <c r="E26" s="32"/>
      <c r="F26" s="315"/>
      <c r="G26" s="33"/>
      <c r="H26" s="31"/>
      <c r="J26" s="30"/>
      <c r="K26" s="30"/>
      <c r="L26" s="30"/>
      <c r="O26" s="31"/>
      <c r="Q26" s="30"/>
      <c r="R26" s="361"/>
      <c r="V26" s="31"/>
      <c r="W26" s="32"/>
      <c r="AB26" s="32"/>
      <c r="AG26" s="35"/>
    </row>
    <row r="27" spans="1:35" ht="15" thickBot="1" x14ac:dyDescent="0.35">
      <c r="A27" s="135" t="s">
        <v>138</v>
      </c>
      <c r="D27" s="36">
        <f>D13+D23+D25</f>
        <v>-234</v>
      </c>
      <c r="E27" s="37">
        <f>E13+E23+E25</f>
        <v>2111</v>
      </c>
      <c r="F27" s="418"/>
      <c r="G27" s="147"/>
      <c r="H27" s="36">
        <f>H13+H23+H25</f>
        <v>-233.32190476190479</v>
      </c>
      <c r="I27" s="332">
        <f>I13+I23+I25</f>
        <v>2345</v>
      </c>
      <c r="J27" s="38">
        <f>J13+J23+J25</f>
        <v>1954.1666666666665</v>
      </c>
      <c r="K27" s="38">
        <f>K13+K23+K25</f>
        <v>1399</v>
      </c>
      <c r="L27" s="38">
        <f>L13+L23+L25</f>
        <v>555.16666666666663</v>
      </c>
      <c r="M27" s="39"/>
      <c r="N27" s="39"/>
      <c r="O27" s="36">
        <f>O13+O23+O25</f>
        <v>-296.67809523809524</v>
      </c>
      <c r="P27" s="37">
        <f>P13+P23+P25</f>
        <v>2578.321904761905</v>
      </c>
      <c r="Q27" s="38">
        <f>Q13+Q23+Q25</f>
        <v>2578.321904761905</v>
      </c>
      <c r="R27" s="382">
        <f>R13+R23+R25</f>
        <v>3020</v>
      </c>
      <c r="S27" s="38">
        <f>S13+S23+S25</f>
        <v>-441.67809523809512</v>
      </c>
      <c r="V27" s="36">
        <f>V13+V23+V25</f>
        <v>547</v>
      </c>
      <c r="W27" s="37">
        <f>W13+W23+W25</f>
        <v>2875</v>
      </c>
      <c r="X27" s="38">
        <f>X13+X23+X25</f>
        <v>2395.8333333333335</v>
      </c>
      <c r="Y27" s="38">
        <f>Y13+Y23+Y25</f>
        <v>1409.9099999999999</v>
      </c>
      <c r="Z27" s="38">
        <f>Z13+Z23+Z25</f>
        <v>985.92333333333329</v>
      </c>
      <c r="AB27" s="37">
        <f>AB13+AB23+AB25</f>
        <v>2328</v>
      </c>
      <c r="AC27" s="38">
        <f>AC13+AC23+AC25</f>
        <v>1939.9999999999995</v>
      </c>
      <c r="AD27" s="38">
        <f>AD13+AD23+AD25</f>
        <v>1574.1999999999998</v>
      </c>
      <c r="AE27" s="38">
        <f>AE13+AE23+AE25</f>
        <v>365.8</v>
      </c>
    </row>
    <row r="28" spans="1:35" x14ac:dyDescent="0.3">
      <c r="D28" s="31"/>
      <c r="E28" s="32"/>
      <c r="F28" s="315"/>
      <c r="H28" s="31"/>
      <c r="J28" s="30"/>
      <c r="K28" s="30"/>
      <c r="L28" s="30"/>
      <c r="O28" s="31"/>
      <c r="P28" s="39"/>
      <c r="Q28" s="30"/>
      <c r="R28" s="361"/>
      <c r="V28" s="31"/>
      <c r="W28" s="39"/>
      <c r="AB28" s="39"/>
      <c r="AD28" s="40"/>
    </row>
    <row r="29" spans="1:35" ht="15.6" x14ac:dyDescent="0.3">
      <c r="A29" s="48" t="s">
        <v>96</v>
      </c>
      <c r="D29" s="81">
        <f>E29-I29</f>
        <v>1160</v>
      </c>
      <c r="E29" s="243">
        <f>Reserves!E19</f>
        <v>1500</v>
      </c>
      <c r="F29" s="303"/>
      <c r="G29" s="48"/>
      <c r="H29" s="81">
        <f>I29-P29</f>
        <v>-60</v>
      </c>
      <c r="I29" s="276">
        <v>340</v>
      </c>
      <c r="J29" s="83">
        <f>I29/12*Summary!$H$30</f>
        <v>283.33333333333331</v>
      </c>
      <c r="K29" s="448">
        <f>J29</f>
        <v>283.33333333333331</v>
      </c>
      <c r="L29" s="83">
        <f t="shared" ref="L29" si="24">J29-K29</f>
        <v>0</v>
      </c>
      <c r="M29" s="240"/>
      <c r="N29" s="240"/>
      <c r="O29" s="81">
        <f>P29-W29</f>
        <v>0</v>
      </c>
      <c r="P29" s="34">
        <v>400</v>
      </c>
      <c r="Q29" s="83">
        <f>P29</f>
        <v>400</v>
      </c>
      <c r="R29" s="348">
        <v>400</v>
      </c>
      <c r="S29" s="83">
        <f t="shared" ref="S29" si="25">Q29-R29</f>
        <v>0</v>
      </c>
      <c r="V29" s="77">
        <f t="shared" ref="V29" si="26">W29-AB29</f>
        <v>0</v>
      </c>
      <c r="W29" s="34">
        <v>400</v>
      </c>
      <c r="X29" s="83">
        <f t="shared" ref="X29" si="27">W29/12*10</f>
        <v>333.33333333333337</v>
      </c>
      <c r="Y29" s="83">
        <v>0</v>
      </c>
      <c r="Z29" s="83">
        <f t="shared" ref="Z29" si="28">X29-Y29</f>
        <v>333.33333333333337</v>
      </c>
      <c r="AB29" s="34">
        <v>400</v>
      </c>
      <c r="AC29" s="83">
        <f>AB29/12*10</f>
        <v>333.33333333333337</v>
      </c>
      <c r="AD29" s="35">
        <v>300</v>
      </c>
      <c r="AE29" s="79">
        <f>AC29-AD29</f>
        <v>33.333333333333371</v>
      </c>
      <c r="AG29" s="49" t="s">
        <v>228</v>
      </c>
    </row>
    <row r="30" spans="1:35" x14ac:dyDescent="0.3">
      <c r="A30" s="48"/>
      <c r="D30" s="31"/>
      <c r="E30" s="32"/>
      <c r="F30" s="315"/>
      <c r="G30" s="48"/>
      <c r="J30" s="30"/>
      <c r="K30" s="30"/>
      <c r="L30" s="30"/>
      <c r="O30" s="31"/>
      <c r="P30" s="34"/>
      <c r="Q30" s="30"/>
      <c r="V30" s="31"/>
      <c r="W30" s="34"/>
      <c r="AB30" s="34"/>
      <c r="AD30" s="35"/>
      <c r="AG30" s="49"/>
    </row>
    <row r="31" spans="1:35" ht="15" thickBot="1" x14ac:dyDescent="0.35">
      <c r="A31" s="135" t="s">
        <v>1</v>
      </c>
      <c r="D31" s="95">
        <f t="shared" ref="D31" si="29">SUM(D27:D30)</f>
        <v>926</v>
      </c>
      <c r="E31" s="96">
        <f t="shared" ref="E31" si="30">SUM(E27:E30)</f>
        <v>3611</v>
      </c>
      <c r="F31" s="419"/>
      <c r="G31" s="147"/>
      <c r="H31" s="95">
        <f t="shared" ref="H31" si="31">SUM(H27:H30)</f>
        <v>-293.32190476190476</v>
      </c>
      <c r="I31" s="333">
        <f t="shared" ref="I31:L31" si="32">SUM(I27:I30)</f>
        <v>2685</v>
      </c>
      <c r="J31" s="50">
        <f t="shared" si="32"/>
        <v>2237.5</v>
      </c>
      <c r="K31" s="50">
        <f t="shared" si="32"/>
        <v>1682.3333333333333</v>
      </c>
      <c r="L31" s="50">
        <f t="shared" si="32"/>
        <v>555.16666666666663</v>
      </c>
      <c r="M31" s="251"/>
      <c r="N31" s="251"/>
      <c r="O31" s="95">
        <f>SUM(O27:O30)</f>
        <v>-296.67809523809524</v>
      </c>
      <c r="P31" s="96">
        <f>SUM(P27:P30)</f>
        <v>2978.321904761905</v>
      </c>
      <c r="Q31" s="50">
        <f t="shared" ref="Q31:S31" si="33">SUM(Q27:Q30)</f>
        <v>2978.321904761905</v>
      </c>
      <c r="R31" s="50">
        <f t="shared" si="33"/>
        <v>3420</v>
      </c>
      <c r="S31" s="50">
        <f t="shared" si="33"/>
        <v>-441.67809523809512</v>
      </c>
      <c r="V31" s="95">
        <f t="shared" ref="V31:Z31" si="34">SUM(V27:V30)</f>
        <v>547</v>
      </c>
      <c r="W31" s="96">
        <f t="shared" si="34"/>
        <v>3275</v>
      </c>
      <c r="X31" s="50">
        <f t="shared" si="34"/>
        <v>2729.166666666667</v>
      </c>
      <c r="Y31" s="50">
        <f t="shared" si="34"/>
        <v>1409.9099999999999</v>
      </c>
      <c r="Z31" s="50">
        <f t="shared" si="34"/>
        <v>1319.2566666666667</v>
      </c>
      <c r="AB31" s="96">
        <f>SUM(AB27:AB30)</f>
        <v>2728</v>
      </c>
      <c r="AC31" s="50">
        <f t="shared" ref="AC31:AE31" si="35">SUM(AC27:AC30)</f>
        <v>2273.333333333333</v>
      </c>
      <c r="AD31" s="50">
        <f t="shared" si="35"/>
        <v>1874.1999999999998</v>
      </c>
      <c r="AE31" s="50">
        <f t="shared" si="35"/>
        <v>399.13333333333338</v>
      </c>
      <c r="AG31" s="155">
        <f>SUM(B31:AF31)</f>
        <v>36596.96571428571</v>
      </c>
      <c r="AH31" s="156" t="s">
        <v>143</v>
      </c>
    </row>
    <row r="33" spans="1:18" x14ac:dyDescent="0.3">
      <c r="A33" s="233" t="str">
        <f>"* "&amp;Summary!$A$26</f>
        <v>* Inflation Factor, CPI to 16th September, 2020</v>
      </c>
      <c r="B33" s="233"/>
      <c r="C33" s="233"/>
      <c r="D33" s="233"/>
      <c r="E33" s="353">
        <f>Summary!$E$26</f>
        <v>5.0000000000000001E-3</v>
      </c>
      <c r="F33" s="201"/>
      <c r="G33" s="233"/>
      <c r="H33" s="436" t="str">
        <f>Summary!$H$26</f>
        <v>October, 2019</v>
      </c>
      <c r="I33" s="353">
        <f>Summary!$I$26</f>
        <v>1.7000000000000001E-2</v>
      </c>
      <c r="J33" s="311"/>
      <c r="K33" s="311"/>
      <c r="L33" s="311"/>
      <c r="M33" s="241"/>
      <c r="N33" s="241"/>
      <c r="O33" s="436" t="str">
        <f>Summary!$O$26</f>
        <v>October, 2018</v>
      </c>
      <c r="P33" s="353">
        <f>Summary!$P$26</f>
        <v>2.4E-2</v>
      </c>
      <c r="R33" s="97"/>
    </row>
    <row r="35" spans="1:18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30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30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30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30" customHeigh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30" customHeight="1" x14ac:dyDescent="0.3">
      <c r="A57" s="552"/>
      <c r="B57" s="483"/>
      <c r="C57" s="483"/>
      <c r="D57" s="483"/>
      <c r="E57" s="483"/>
      <c r="F57" s="483"/>
      <c r="G57" s="483"/>
      <c r="H57" s="483"/>
      <c r="I57" s="292"/>
      <c r="J57" s="292"/>
      <c r="K57" s="292"/>
      <c r="L57" s="292"/>
      <c r="M57" s="355"/>
      <c r="N57" s="355"/>
      <c r="O57" s="355"/>
    </row>
  </sheetData>
  <mergeCells count="18">
    <mergeCell ref="A57:H57"/>
    <mergeCell ref="V3:Z3"/>
    <mergeCell ref="H4:H5"/>
    <mergeCell ref="D3:E3"/>
    <mergeCell ref="Q5:S5"/>
    <mergeCell ref="O3:S3"/>
    <mergeCell ref="D4:D5"/>
    <mergeCell ref="E4:E5"/>
    <mergeCell ref="H3:L3"/>
    <mergeCell ref="I4:J4"/>
    <mergeCell ref="AB3:AE3"/>
    <mergeCell ref="O4:O5"/>
    <mergeCell ref="V4:V5"/>
    <mergeCell ref="W4:X4"/>
    <mergeCell ref="AB4:AC4"/>
    <mergeCell ref="X5:Z5"/>
    <mergeCell ref="AC5:AE5"/>
    <mergeCell ref="P4:Q4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5"/>
  <sheetViews>
    <sheetView showGridLines="0" tabSelected="1" zoomScale="117" zoomScaleNormal="117" workbookViewId="0">
      <pane ySplit="5" topLeftCell="A6" activePane="bottomLeft" state="frozen"/>
      <selection activeCell="A6" sqref="A6"/>
      <selection pane="bottomLeft" activeCell="A36" sqref="A36"/>
    </sheetView>
  </sheetViews>
  <sheetFormatPr defaultColWidth="9.109375" defaultRowHeight="14.4" x14ac:dyDescent="0.25"/>
  <cols>
    <col min="1" max="1" width="40.6640625" style="3" customWidth="1"/>
    <col min="2" max="2" width="2.6640625" style="233" customWidth="1"/>
    <col min="3" max="5" width="12.6640625" style="233" customWidth="1"/>
    <col min="6" max="6" width="2.6640625" style="233" customWidth="1"/>
    <col min="7" max="7" width="12.6640625" style="3" customWidth="1"/>
    <col min="8" max="9" width="12.6640625" style="233" customWidth="1"/>
    <col min="10" max="12" width="12.6640625" style="201" customWidth="1"/>
    <col min="13" max="13" width="2.6640625" style="233" customWidth="1"/>
    <col min="14" max="16" width="12.6640625" style="3" customWidth="1"/>
    <col min="17" max="18" width="12.6640625" style="233" customWidth="1"/>
    <col min="19" max="19" width="12.44140625" style="233" customWidth="1"/>
    <col min="20" max="20" width="2.33203125" style="3" customWidth="1"/>
    <col min="21" max="26" width="12.6640625" style="3" customWidth="1"/>
    <col min="27" max="27" width="2.6640625" style="3" customWidth="1"/>
    <col min="28" max="31" width="12.6640625" style="3" customWidth="1"/>
    <col min="32" max="32" width="8.109375" style="3" customWidth="1"/>
    <col min="33" max="33" width="14.5546875" style="3" bestFit="1" customWidth="1"/>
    <col min="34" max="34" width="10.33203125" style="3" bestFit="1" customWidth="1"/>
    <col min="35" max="35" width="8.44140625" style="3" bestFit="1" customWidth="1"/>
    <col min="36" max="16384" width="9.109375" style="3"/>
  </cols>
  <sheetData>
    <row r="1" spans="1:38" ht="21" x14ac:dyDescent="0.25">
      <c r="A1" s="54" t="s">
        <v>189</v>
      </c>
      <c r="B1" s="51"/>
      <c r="C1" s="51"/>
      <c r="D1" s="54" t="s">
        <v>137</v>
      </c>
      <c r="E1" s="51"/>
      <c r="F1" s="51"/>
      <c r="G1" s="52"/>
      <c r="H1" s="52"/>
      <c r="I1" s="52"/>
      <c r="J1" s="324"/>
      <c r="K1" s="324"/>
      <c r="L1" s="324"/>
      <c r="M1" s="52"/>
      <c r="N1" s="54"/>
      <c r="P1" s="53"/>
      <c r="Q1" s="53"/>
      <c r="R1" s="53"/>
      <c r="S1" s="53"/>
      <c r="T1" s="53"/>
      <c r="U1" s="53"/>
      <c r="V1" s="53"/>
      <c r="W1" s="52"/>
    </row>
    <row r="2" spans="1:38" ht="21" x14ac:dyDescent="0.25">
      <c r="G2" s="52"/>
      <c r="H2" s="52"/>
      <c r="I2" s="52"/>
      <c r="J2" s="324"/>
      <c r="K2" s="324"/>
      <c r="L2" s="324"/>
      <c r="M2" s="52"/>
      <c r="O2" s="52"/>
      <c r="P2" s="54"/>
      <c r="Q2" s="54"/>
      <c r="R2" s="54"/>
      <c r="S2" s="54"/>
      <c r="T2" s="53"/>
      <c r="U2" s="53"/>
      <c r="V2" s="53"/>
      <c r="W2" s="53"/>
      <c r="X2" s="52"/>
    </row>
    <row r="3" spans="1:38" s="12" customFormat="1" ht="21" x14ac:dyDescent="0.25">
      <c r="A3" s="263" t="s">
        <v>201</v>
      </c>
      <c r="B3" s="54"/>
      <c r="C3" s="499">
        <v>2021</v>
      </c>
      <c r="D3" s="500"/>
      <c r="E3" s="501"/>
      <c r="F3" s="54"/>
      <c r="G3" s="493">
        <v>2020</v>
      </c>
      <c r="H3" s="494"/>
      <c r="I3" s="494"/>
      <c r="J3" s="494"/>
      <c r="K3" s="494"/>
      <c r="L3" s="495"/>
      <c r="M3" s="261"/>
      <c r="N3" s="493">
        <v>2019</v>
      </c>
      <c r="O3" s="532"/>
      <c r="P3" s="532"/>
      <c r="Q3" s="532"/>
      <c r="R3" s="532"/>
      <c r="S3" s="533"/>
      <c r="T3" s="262"/>
      <c r="U3" s="493">
        <v>2018</v>
      </c>
      <c r="V3" s="532"/>
      <c r="W3" s="532"/>
      <c r="X3" s="532"/>
      <c r="Y3" s="532"/>
      <c r="Z3" s="533"/>
      <c r="AA3" s="261"/>
      <c r="AB3" s="493">
        <v>2017</v>
      </c>
      <c r="AC3" s="524"/>
      <c r="AD3" s="524"/>
      <c r="AE3" s="525"/>
      <c r="AF3" s="262"/>
      <c r="AG3" s="264"/>
    </row>
    <row r="4" spans="1:38" ht="15" customHeight="1" x14ac:dyDescent="0.25">
      <c r="A4" s="21"/>
      <c r="B4" s="21"/>
      <c r="C4" s="509" t="s">
        <v>205</v>
      </c>
      <c r="D4" s="509" t="s">
        <v>195</v>
      </c>
      <c r="E4" s="522" t="s">
        <v>44</v>
      </c>
      <c r="F4" s="21"/>
      <c r="G4" s="496" t="s">
        <v>204</v>
      </c>
      <c r="H4" s="517" t="s">
        <v>187</v>
      </c>
      <c r="I4" s="497" t="s">
        <v>134</v>
      </c>
      <c r="J4" s="498"/>
      <c r="K4" s="299" t="s">
        <v>101</v>
      </c>
      <c r="L4" s="299" t="s">
        <v>93</v>
      </c>
      <c r="M4" s="21"/>
      <c r="N4" s="496" t="s">
        <v>203</v>
      </c>
      <c r="O4" s="526" t="s">
        <v>136</v>
      </c>
      <c r="P4" s="528" t="s">
        <v>134</v>
      </c>
      <c r="Q4" s="528"/>
      <c r="R4" s="232" t="s">
        <v>101</v>
      </c>
      <c r="S4" s="232" t="s">
        <v>93</v>
      </c>
      <c r="T4" s="21"/>
      <c r="U4" s="496" t="s">
        <v>202</v>
      </c>
      <c r="V4" s="526" t="s">
        <v>135</v>
      </c>
      <c r="W4" s="528" t="s">
        <v>134</v>
      </c>
      <c r="X4" s="528"/>
      <c r="Y4" s="22" t="s">
        <v>101</v>
      </c>
      <c r="Z4" s="22" t="s">
        <v>93</v>
      </c>
      <c r="AA4" s="21"/>
      <c r="AB4" s="528" t="s">
        <v>134</v>
      </c>
      <c r="AC4" s="529"/>
      <c r="AD4" s="22" t="s">
        <v>101</v>
      </c>
      <c r="AE4" s="22" t="s">
        <v>93</v>
      </c>
      <c r="AF4" s="22"/>
      <c r="AG4" s="23"/>
    </row>
    <row r="5" spans="1:38" x14ac:dyDescent="0.25">
      <c r="A5" s="21"/>
      <c r="B5" s="21"/>
      <c r="C5" s="510"/>
      <c r="D5" s="510"/>
      <c r="E5" s="523"/>
      <c r="F5" s="21"/>
      <c r="G5" s="496"/>
      <c r="H5" s="483"/>
      <c r="I5" s="287" t="s">
        <v>132</v>
      </c>
      <c r="J5" s="438" t="s">
        <v>199</v>
      </c>
      <c r="K5" s="439" t="str">
        <f>I30</f>
        <v>October</v>
      </c>
      <c r="L5" s="440" t="s">
        <v>200</v>
      </c>
      <c r="M5" s="21"/>
      <c r="N5" s="496"/>
      <c r="O5" s="510"/>
      <c r="P5" s="24" t="s">
        <v>132</v>
      </c>
      <c r="Q5" s="530" t="s">
        <v>234</v>
      </c>
      <c r="R5" s="531"/>
      <c r="S5" s="531"/>
      <c r="T5" s="21"/>
      <c r="U5" s="496"/>
      <c r="V5" s="527"/>
      <c r="W5" s="24" t="s">
        <v>132</v>
      </c>
      <c r="X5" s="530" t="s">
        <v>133</v>
      </c>
      <c r="Y5" s="531"/>
      <c r="Z5" s="531"/>
      <c r="AA5" s="21"/>
      <c r="AB5" s="24" t="s">
        <v>132</v>
      </c>
      <c r="AC5" s="530" t="s">
        <v>133</v>
      </c>
      <c r="AD5" s="531"/>
      <c r="AE5" s="531"/>
      <c r="AF5" s="22"/>
      <c r="AG5" s="23"/>
    </row>
    <row r="6" spans="1:38" x14ac:dyDescent="0.25">
      <c r="A6" s="21"/>
      <c r="B6" s="21"/>
      <c r="C6" s="21"/>
      <c r="D6" s="21"/>
      <c r="E6" s="21"/>
      <c r="F6" s="21"/>
      <c r="G6" s="21"/>
      <c r="H6" s="21"/>
      <c r="I6" s="21"/>
      <c r="J6" s="325"/>
      <c r="K6" s="325"/>
      <c r="L6" s="325"/>
      <c r="M6" s="21"/>
      <c r="N6" s="160"/>
      <c r="O6" s="161"/>
      <c r="P6" s="150"/>
      <c r="Q6" s="231"/>
      <c r="R6" s="231"/>
      <c r="S6" s="231"/>
      <c r="T6" s="21"/>
      <c r="U6" s="170"/>
      <c r="V6" s="151"/>
      <c r="W6" s="24"/>
      <c r="X6" s="24"/>
      <c r="Y6" s="152"/>
      <c r="Z6" s="152"/>
      <c r="AA6" s="21"/>
      <c r="AB6" s="24"/>
      <c r="AC6" s="24"/>
      <c r="AD6" s="152"/>
      <c r="AE6" s="152"/>
      <c r="AF6" s="22"/>
      <c r="AG6" s="504" t="s">
        <v>158</v>
      </c>
      <c r="AH6" s="505"/>
      <c r="AI6" s="505"/>
      <c r="AK6" s="233"/>
      <c r="AL6" s="233"/>
    </row>
    <row r="7" spans="1:38" s="233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325"/>
      <c r="K7" s="325"/>
      <c r="L7" s="325"/>
      <c r="M7" s="21"/>
      <c r="N7" s="160"/>
      <c r="O7" s="282"/>
      <c r="P7" s="283"/>
      <c r="Q7" s="283"/>
      <c r="R7" s="283"/>
      <c r="S7" s="283"/>
      <c r="T7" s="21"/>
      <c r="U7" s="170"/>
      <c r="V7" s="284"/>
      <c r="W7" s="287"/>
      <c r="X7" s="287"/>
      <c r="Y7" s="286"/>
      <c r="Z7" s="286"/>
      <c r="AA7" s="21"/>
      <c r="AB7" s="287"/>
      <c r="AC7" s="287"/>
      <c r="AD7" s="286"/>
      <c r="AE7" s="286"/>
      <c r="AF7" s="285"/>
      <c r="AG7" s="154" t="s">
        <v>225</v>
      </c>
      <c r="AH7" s="445" t="s">
        <v>226</v>
      </c>
      <c r="AI7" s="445" t="s">
        <v>93</v>
      </c>
    </row>
    <row r="8" spans="1:38" ht="15.6" x14ac:dyDescent="0.25">
      <c r="A8" s="171" t="s">
        <v>144</v>
      </c>
      <c r="B8" s="171"/>
      <c r="C8" s="59">
        <f>E8-G8</f>
        <v>19196.25</v>
      </c>
      <c r="D8" s="59">
        <f>'Communal Management Costs'!D78</f>
        <v>19146.330000000002</v>
      </c>
      <c r="E8" s="60">
        <f>'Communal Management Costs'!E78</f>
        <v>164570.25</v>
      </c>
      <c r="F8" s="171"/>
      <c r="G8" s="158">
        <v>145374</v>
      </c>
      <c r="H8" s="59">
        <f t="shared" ref="H8:H22" si="0">I8-P8</f>
        <v>2088.7199999999721</v>
      </c>
      <c r="I8" s="60">
        <f>'Communal Management Costs'!I78</f>
        <v>145423.91999999998</v>
      </c>
      <c r="J8" s="83">
        <f>I8/12*Summary!$H$30</f>
        <v>121186.59999999998</v>
      </c>
      <c r="K8" s="61">
        <f>'Communal Management Costs'!K78</f>
        <v>89723.833333333328</v>
      </c>
      <c r="L8" s="61">
        <f>J8-K8</f>
        <v>31462.766666666648</v>
      </c>
      <c r="M8" s="55"/>
      <c r="N8" s="158">
        <v>135443</v>
      </c>
      <c r="O8" s="59">
        <f t="shared" ref="O8:O15" si="1">P8-W8</f>
        <v>6030.2000000000116</v>
      </c>
      <c r="P8" s="60">
        <f>'Communal Management Costs'!P78</f>
        <v>143335.20000000001</v>
      </c>
      <c r="Q8" s="61">
        <f>'Communal Management Costs'!Q78</f>
        <v>143335.20000000001</v>
      </c>
      <c r="R8" s="61">
        <f>'Communal Management Costs'!R78</f>
        <v>148056</v>
      </c>
      <c r="S8" s="61">
        <f>'Communal Management Costs'!S78</f>
        <v>-4720.8</v>
      </c>
      <c r="T8" s="61"/>
      <c r="U8" s="172">
        <v>129014</v>
      </c>
      <c r="V8" s="59">
        <f>'Communal Management Costs'!V78</f>
        <v>10215</v>
      </c>
      <c r="W8" s="60">
        <f>'Communal Management Costs'!W78</f>
        <v>137305</v>
      </c>
      <c r="X8" s="61">
        <f>'Communal Management Costs'!X78</f>
        <v>114420.83333333333</v>
      </c>
      <c r="Y8" s="61">
        <f>'Communal Management Costs'!Y78</f>
        <v>101612.18000000001</v>
      </c>
      <c r="Z8" s="61">
        <f>'Communal Management Costs'!Z78</f>
        <v>12808.653333333334</v>
      </c>
      <c r="AA8" s="61"/>
      <c r="AB8" s="60">
        <f>'Communal Management Costs'!AB78</f>
        <v>127090</v>
      </c>
      <c r="AC8" s="61">
        <f>'Communal Management Costs'!AC78</f>
        <v>105908.33333333333</v>
      </c>
      <c r="AD8" s="61">
        <f>'Communal Management Costs'!AD78</f>
        <v>118124</v>
      </c>
      <c r="AE8" s="61">
        <f>'Communal Management Costs'!AE78</f>
        <v>-12215.666666666666</v>
      </c>
      <c r="AF8" s="61"/>
      <c r="AG8" s="153">
        <f>'Communal Management Costs'!AG78</f>
        <v>1725344.553333333</v>
      </c>
      <c r="AH8" s="153">
        <f>SUM(B8:AF8)-C8-G8-N8-U8</f>
        <v>1724906.5533333332</v>
      </c>
      <c r="AI8" s="153">
        <f>AG8-AH8</f>
        <v>437.99999999976717</v>
      </c>
      <c r="AJ8" s="3" t="s">
        <v>241</v>
      </c>
      <c r="AK8" s="233"/>
      <c r="AL8" s="233"/>
    </row>
    <row r="9" spans="1:38" ht="15.6" x14ac:dyDescent="0.25">
      <c r="A9" s="171" t="s">
        <v>65</v>
      </c>
      <c r="B9" s="171"/>
      <c r="C9" s="62">
        <f t="shared" ref="C9:C22" si="2">E9-G9</f>
        <v>4809</v>
      </c>
      <c r="D9" s="62">
        <f>'Leisure Suite'!D69</f>
        <v>4154</v>
      </c>
      <c r="E9" s="62">
        <f>'Leisure Suite'!E69</f>
        <v>68997</v>
      </c>
      <c r="F9" s="171"/>
      <c r="G9" s="158">
        <v>64188</v>
      </c>
      <c r="H9" s="59">
        <f t="shared" si="0"/>
        <v>-436.5199999999968</v>
      </c>
      <c r="I9" s="62">
        <f>'Leisure Suite'!I69</f>
        <v>64843</v>
      </c>
      <c r="J9" s="83">
        <f>I9/12*Summary!$H$30</f>
        <v>54035.833333333328</v>
      </c>
      <c r="K9" s="58">
        <f>'Leisure Suite'!K69</f>
        <v>45656.31</v>
      </c>
      <c r="L9" s="61">
        <f t="shared" ref="L9:L22" si="3">J9-K9</f>
        <v>8379.5233333333308</v>
      </c>
      <c r="M9" s="56"/>
      <c r="N9" s="158">
        <v>61689</v>
      </c>
      <c r="O9" s="59">
        <f t="shared" si="1"/>
        <v>3219.5199999999968</v>
      </c>
      <c r="P9" s="62">
        <f>'Leisure Suite'!P69</f>
        <v>65279.519999999997</v>
      </c>
      <c r="Q9" s="58">
        <f>'Leisure Suite'!Q69</f>
        <v>64963.866666666661</v>
      </c>
      <c r="R9" s="58">
        <f>'Leisure Suite'!R69</f>
        <v>71106</v>
      </c>
      <c r="S9" s="58">
        <f>'Leisure Suite'!S69</f>
        <v>-6142.1333333333341</v>
      </c>
      <c r="T9" s="61"/>
      <c r="U9" s="172">
        <v>54446</v>
      </c>
      <c r="V9" s="59">
        <f>'Leisure Suite'!V69</f>
        <v>8185</v>
      </c>
      <c r="W9" s="62">
        <f>'Leisure Suite'!W69</f>
        <v>62060</v>
      </c>
      <c r="X9" s="58">
        <f>'Leisure Suite'!X69</f>
        <v>51716.666666666664</v>
      </c>
      <c r="Y9" s="58">
        <f>'Leisure Suite'!Y69</f>
        <v>58917.582999999999</v>
      </c>
      <c r="Z9" s="58">
        <f>'Leisure Suite'!Z69</f>
        <v>-7200.9163333333345</v>
      </c>
      <c r="AA9" s="61"/>
      <c r="AB9" s="60">
        <f>'Leisure Suite'!AB69</f>
        <v>53875</v>
      </c>
      <c r="AC9" s="58">
        <f>'Leisure Suite'!AC69</f>
        <v>44895.833333333336</v>
      </c>
      <c r="AD9" s="61">
        <f>'Leisure Suite'!AD69</f>
        <v>57941.08</v>
      </c>
      <c r="AE9" s="61">
        <f>'Leisure Suite'!AE69</f>
        <v>-13045.246666666662</v>
      </c>
      <c r="AF9" s="58"/>
      <c r="AG9" s="153">
        <f>'Leisure Suite'!AG69</f>
        <v>761400.91999999981</v>
      </c>
      <c r="AH9" s="153">
        <f>SUM(B9:AF9)-C9-G9-N9-U9</f>
        <v>761400.91999999993</v>
      </c>
      <c r="AI9" s="153">
        <f>AG9-AH9</f>
        <v>0</v>
      </c>
      <c r="AK9" s="233"/>
      <c r="AL9" s="233"/>
    </row>
    <row r="10" spans="1:38" ht="15.6" x14ac:dyDescent="0.25">
      <c r="A10" s="171" t="s">
        <v>2</v>
      </c>
      <c r="B10" s="171"/>
      <c r="C10" s="62">
        <f t="shared" si="2"/>
        <v>7917.3500000000058</v>
      </c>
      <c r="D10" s="62">
        <f>Insurance!D15</f>
        <v>7917.3499999999985</v>
      </c>
      <c r="E10" s="62">
        <f>Insurance!E15</f>
        <v>47553.350000000006</v>
      </c>
      <c r="F10" s="171"/>
      <c r="G10" s="158">
        <v>39636</v>
      </c>
      <c r="H10" s="59">
        <f t="shared" si="0"/>
        <v>3084.3100000000049</v>
      </c>
      <c r="I10" s="62">
        <f>Insurance!I15</f>
        <v>39636</v>
      </c>
      <c r="J10" s="83">
        <f>I10/12*Summary!$H$30</f>
        <v>33030</v>
      </c>
      <c r="K10" s="58">
        <f>Insurance!K15</f>
        <v>40236</v>
      </c>
      <c r="L10" s="61">
        <f t="shared" si="3"/>
        <v>-7206</v>
      </c>
      <c r="M10" s="56"/>
      <c r="N10" s="158">
        <v>36552</v>
      </c>
      <c r="O10" s="59">
        <f t="shared" si="1"/>
        <v>5265.6899999999951</v>
      </c>
      <c r="P10" s="62">
        <f>Insurance!P15</f>
        <v>36551.689999999995</v>
      </c>
      <c r="Q10" s="58">
        <f>Insurance!Q15</f>
        <v>36551.689999999995</v>
      </c>
      <c r="R10" s="58">
        <f>Insurance!R15</f>
        <v>36664</v>
      </c>
      <c r="S10" s="58">
        <f>Insurance!S15</f>
        <v>-112.31000000000142</v>
      </c>
      <c r="T10" s="61"/>
      <c r="U10" s="172">
        <v>37574</v>
      </c>
      <c r="V10" s="59">
        <f>Insurance!V15</f>
        <v>-5916</v>
      </c>
      <c r="W10" s="62">
        <f>Insurance!W15</f>
        <v>31286</v>
      </c>
      <c r="X10" s="58">
        <f>Insurance!X15</f>
        <v>26071.666666666672</v>
      </c>
      <c r="Y10" s="58">
        <f>Insurance!Y15</f>
        <v>-1375</v>
      </c>
      <c r="Z10" s="58">
        <f>Insurance!Z15</f>
        <v>27446.666666666672</v>
      </c>
      <c r="AA10" s="61"/>
      <c r="AB10" s="60">
        <f>Insurance!AB15</f>
        <v>37202</v>
      </c>
      <c r="AC10" s="58">
        <f>Insurance!AC15</f>
        <v>31001.666666666668</v>
      </c>
      <c r="AD10" s="61">
        <f>Insurance!AD15</f>
        <v>34604.590000000004</v>
      </c>
      <c r="AE10" s="61">
        <f>Insurance!AE15</f>
        <v>-3602.9233333333332</v>
      </c>
      <c r="AF10" s="58"/>
      <c r="AG10" s="153">
        <f>Insurance!AG15</f>
        <v>455890.43666666676</v>
      </c>
      <c r="AH10" s="153">
        <f t="shared" ref="AH10:AH22" si="4">SUM(B10:AF10)-C10-G10-N10-U10</f>
        <v>455890.43666666665</v>
      </c>
      <c r="AI10" s="153">
        <f>AG10-AH10</f>
        <v>0</v>
      </c>
      <c r="AK10" s="233"/>
      <c r="AL10" s="233"/>
    </row>
    <row r="11" spans="1:38" ht="15.6" x14ac:dyDescent="0.25">
      <c r="A11" s="171" t="s">
        <v>53</v>
      </c>
      <c r="B11" s="171"/>
      <c r="C11" s="62">
        <f t="shared" si="2"/>
        <v>1001</v>
      </c>
      <c r="D11" s="62">
        <f>Alexandra!D28</f>
        <v>1001</v>
      </c>
      <c r="E11" s="62">
        <f>Alexandra!E28</f>
        <v>2894</v>
      </c>
      <c r="F11" s="171"/>
      <c r="G11" s="158">
        <v>1893</v>
      </c>
      <c r="H11" s="59">
        <f t="shared" si="0"/>
        <v>210.60825396825385</v>
      </c>
      <c r="I11" s="62">
        <f>Alexandra!I28</f>
        <v>1893</v>
      </c>
      <c r="J11" s="83">
        <f>I11/12*Summary!$H$30</f>
        <v>1577.5</v>
      </c>
      <c r="K11" s="57">
        <f>Alexandra!K28</f>
        <v>1407</v>
      </c>
      <c r="L11" s="61">
        <f t="shared" si="3"/>
        <v>170.5</v>
      </c>
      <c r="M11" s="56"/>
      <c r="N11" s="158">
        <v>3538</v>
      </c>
      <c r="O11" s="59">
        <f t="shared" si="1"/>
        <v>-7.6082539682538481</v>
      </c>
      <c r="P11" s="62">
        <f>Alexandra!P28</f>
        <v>1682.3917460317462</v>
      </c>
      <c r="Q11" s="57">
        <f>Alexandra!Q28</f>
        <v>1682.3917460317462</v>
      </c>
      <c r="R11" s="57">
        <f>Alexandra!R28</f>
        <v>2716</v>
      </c>
      <c r="S11" s="57">
        <f>Alexandra!S28</f>
        <v>-1033.6082539682538</v>
      </c>
      <c r="T11" s="61"/>
      <c r="U11" s="172">
        <v>1589</v>
      </c>
      <c r="V11" s="57">
        <f>Alexandra!V28</f>
        <v>119</v>
      </c>
      <c r="W11" s="62">
        <f>Alexandra!W28</f>
        <v>1690</v>
      </c>
      <c r="X11" s="57">
        <f>Alexandra!X28</f>
        <v>1408.3333333333335</v>
      </c>
      <c r="Y11" s="57">
        <f>Alexandra!Y28</f>
        <v>3201.26</v>
      </c>
      <c r="Z11" s="57">
        <f>Alexandra!Z28</f>
        <v>-1792.9266666666667</v>
      </c>
      <c r="AA11" s="61"/>
      <c r="AB11" s="62">
        <f>Alexandra!AB28</f>
        <v>1571</v>
      </c>
      <c r="AC11" s="57">
        <f>Alexandra!AC28</f>
        <v>1309.1666666666667</v>
      </c>
      <c r="AD11" s="57">
        <f>Alexandra!AD28</f>
        <v>1816.81</v>
      </c>
      <c r="AE11" s="57">
        <f>Alexandra!AE28</f>
        <v>-507.64333333333326</v>
      </c>
      <c r="AF11" s="58"/>
      <c r="AG11" s="153">
        <f>Alexandra!AG28</f>
        <v>23008.175238095238</v>
      </c>
      <c r="AH11" s="153">
        <f t="shared" si="4"/>
        <v>23008.175238095238</v>
      </c>
      <c r="AI11" s="153">
        <f>AG11-AH11</f>
        <v>0</v>
      </c>
      <c r="AK11" s="233"/>
      <c r="AL11" s="233"/>
    </row>
    <row r="12" spans="1:38" ht="15.6" x14ac:dyDescent="0.25">
      <c r="A12" s="171" t="s">
        <v>54</v>
      </c>
      <c r="B12" s="171"/>
      <c r="C12" s="62">
        <f t="shared" si="2"/>
        <v>525</v>
      </c>
      <c r="D12" s="62">
        <f>'Alexandra Building'!D13</f>
        <v>525</v>
      </c>
      <c r="E12" s="62">
        <f>'Alexandra Building'!E13</f>
        <v>4000</v>
      </c>
      <c r="F12" s="171"/>
      <c r="G12" s="158">
        <v>3475</v>
      </c>
      <c r="H12" s="59">
        <f t="shared" si="0"/>
        <v>-700</v>
      </c>
      <c r="I12" s="62">
        <f>'Alexandra Building'!I13</f>
        <v>3475</v>
      </c>
      <c r="J12" s="83">
        <f>I12/12*Summary!$H$30</f>
        <v>2895.833333333333</v>
      </c>
      <c r="K12" s="57">
        <f>'Alexandra Building'!K13</f>
        <v>2896.1666666666665</v>
      </c>
      <c r="L12" s="61">
        <f t="shared" si="3"/>
        <v>-0.33333333333348492</v>
      </c>
      <c r="M12" s="56"/>
      <c r="N12" s="158">
        <v>2319</v>
      </c>
      <c r="O12" s="59">
        <f t="shared" si="1"/>
        <v>175</v>
      </c>
      <c r="P12" s="62">
        <f>'Alexandra Building'!P13</f>
        <v>4175</v>
      </c>
      <c r="Q12" s="57">
        <f>'Alexandra Building'!Q13</f>
        <v>4175</v>
      </c>
      <c r="R12" s="57">
        <f>'Alexandra Building'!R13</f>
        <v>3500</v>
      </c>
      <c r="S12" s="57">
        <f>'Alexandra Building'!S13</f>
        <v>675</v>
      </c>
      <c r="T12" s="61"/>
      <c r="U12" s="172">
        <v>4038</v>
      </c>
      <c r="V12" s="57">
        <f>'Alexandra Building'!V13</f>
        <v>0</v>
      </c>
      <c r="W12" s="62">
        <f>'Alexandra Building'!W13</f>
        <v>4000</v>
      </c>
      <c r="X12" s="57">
        <f>'Alexandra Building'!X13</f>
        <v>3333.3333333333335</v>
      </c>
      <c r="Y12" s="57">
        <f>'Alexandra Building'!Y13</f>
        <v>0</v>
      </c>
      <c r="Z12" s="57">
        <f>'Alexandra Building'!Z13</f>
        <v>3333.3333333333335</v>
      </c>
      <c r="AA12" s="61"/>
      <c r="AB12" s="62">
        <f>'Alexandra Building'!AB13</f>
        <v>4000</v>
      </c>
      <c r="AC12" s="57">
        <f>'Alexandra Building'!AC13</f>
        <v>3333.6666666666665</v>
      </c>
      <c r="AD12" s="57">
        <f>'Alexandra Building'!AD13</f>
        <v>2250</v>
      </c>
      <c r="AE12" s="57">
        <f>'Alexandra Building'!AE13</f>
        <v>1083.6666666666665</v>
      </c>
      <c r="AF12" s="58"/>
      <c r="AG12" s="157">
        <f>'Alexandra Building'!AG13</f>
        <v>47125.666666666664</v>
      </c>
      <c r="AH12" s="153">
        <f t="shared" si="4"/>
        <v>47125.666666666672</v>
      </c>
      <c r="AI12" s="153">
        <f t="shared" ref="AI12:AI22" si="5">AG12-AH12</f>
        <v>0</v>
      </c>
      <c r="AK12" s="233"/>
      <c r="AL12" s="233"/>
    </row>
    <row r="13" spans="1:38" ht="15.6" x14ac:dyDescent="0.25">
      <c r="A13" s="171" t="s">
        <v>55</v>
      </c>
      <c r="B13" s="171"/>
      <c r="C13" s="78">
        <f t="shared" si="2"/>
        <v>505</v>
      </c>
      <c r="D13" s="78">
        <f>Cliffe!D30</f>
        <v>505</v>
      </c>
      <c r="E13" s="78">
        <f>Cliffe!E30</f>
        <v>6319</v>
      </c>
      <c r="F13" s="171"/>
      <c r="G13" s="158">
        <v>5814</v>
      </c>
      <c r="H13" s="59">
        <f t="shared" si="0"/>
        <v>-628.20063492063491</v>
      </c>
      <c r="I13" s="78">
        <f>Cliffe!I30</f>
        <v>5814</v>
      </c>
      <c r="J13" s="83">
        <f>I13/12*Summary!$H$30</f>
        <v>4845</v>
      </c>
      <c r="K13" s="79">
        <f>Cliffe!K30</f>
        <v>6564.833333333333</v>
      </c>
      <c r="L13" s="61">
        <f t="shared" si="3"/>
        <v>-1719.833333333333</v>
      </c>
      <c r="M13" s="55"/>
      <c r="N13" s="158">
        <v>6442</v>
      </c>
      <c r="O13" s="59">
        <f t="shared" si="1"/>
        <v>232.20063492063491</v>
      </c>
      <c r="P13" s="78">
        <f>Cliffe!P30</f>
        <v>6442.2006349206349</v>
      </c>
      <c r="Q13" s="79">
        <f>Cliffe!Q30</f>
        <v>6442.2006349206349</v>
      </c>
      <c r="R13" s="79">
        <f>Cliffe!R30</f>
        <v>6418</v>
      </c>
      <c r="S13" s="79">
        <f>Cliffe!S30</f>
        <v>24.200634920634954</v>
      </c>
      <c r="T13" s="79"/>
      <c r="U13" s="172">
        <v>6402</v>
      </c>
      <c r="V13" s="77">
        <f>Cliffe!V30</f>
        <v>-128</v>
      </c>
      <c r="W13" s="78">
        <f>Cliffe!W30</f>
        <v>6210</v>
      </c>
      <c r="X13" s="79">
        <f>Cliffe!X30</f>
        <v>5175</v>
      </c>
      <c r="Y13" s="79">
        <f>Cliffe!Y30</f>
        <v>1351.98</v>
      </c>
      <c r="Z13" s="79">
        <f>Cliffe!Z30</f>
        <v>3823.0199999999995</v>
      </c>
      <c r="AA13" s="79"/>
      <c r="AB13" s="78">
        <f>Cliffe!AB30</f>
        <v>6338</v>
      </c>
      <c r="AC13" s="79">
        <f>Cliffe!AC30</f>
        <v>5281.6666666666661</v>
      </c>
      <c r="AD13" s="79">
        <f>Cliffe!AD30</f>
        <v>4109.6499999999996</v>
      </c>
      <c r="AE13" s="79">
        <f>Cliffe!AE30</f>
        <v>1172.0166666666667</v>
      </c>
      <c r="AF13" s="79"/>
      <c r="AG13" s="153">
        <f>Cliffe!AG30</f>
        <v>74591.935238095233</v>
      </c>
      <c r="AH13" s="153">
        <f t="shared" si="4"/>
        <v>74591.935238095233</v>
      </c>
      <c r="AI13" s="153">
        <f t="shared" si="5"/>
        <v>0</v>
      </c>
      <c r="AK13" s="233"/>
      <c r="AL13" s="233"/>
    </row>
    <row r="14" spans="1:38" ht="15.6" x14ac:dyDescent="0.25">
      <c r="A14" s="171" t="s">
        <v>56</v>
      </c>
      <c r="B14" s="171"/>
      <c r="C14" s="78">
        <f t="shared" si="2"/>
        <v>387</v>
      </c>
      <c r="D14" s="78">
        <f>Edward!D30</f>
        <v>387</v>
      </c>
      <c r="E14" s="78">
        <f>Edward!E30</f>
        <v>3201</v>
      </c>
      <c r="F14" s="171"/>
      <c r="G14" s="158">
        <v>2814</v>
      </c>
      <c r="H14" s="59">
        <f t="shared" si="0"/>
        <v>190.58920634920651</v>
      </c>
      <c r="I14" s="78">
        <f>Edward!I30</f>
        <v>2814</v>
      </c>
      <c r="J14" s="83">
        <f>I14/12*Summary!$H$30</f>
        <v>2345</v>
      </c>
      <c r="K14" s="79">
        <f>Edward!K30</f>
        <v>2208.1666666666665</v>
      </c>
      <c r="L14" s="61">
        <f t="shared" si="3"/>
        <v>136.83333333333348</v>
      </c>
      <c r="N14" s="158">
        <v>2623</v>
      </c>
      <c r="O14" s="59">
        <f t="shared" si="1"/>
        <v>83.410793650793494</v>
      </c>
      <c r="P14" s="78">
        <f>Edward!P30</f>
        <v>2623.4107936507935</v>
      </c>
      <c r="Q14" s="79">
        <f>Edward!Q30</f>
        <v>2623.4107936507935</v>
      </c>
      <c r="R14" s="79">
        <f>Edward!R30</f>
        <v>2921</v>
      </c>
      <c r="S14" s="79">
        <f>Edward!S30</f>
        <v>-297.58920634920639</v>
      </c>
      <c r="T14" s="79"/>
      <c r="U14" s="172">
        <v>2518</v>
      </c>
      <c r="V14" s="77">
        <f>Edward!V30</f>
        <v>47</v>
      </c>
      <c r="W14" s="78">
        <f>Edward!W30</f>
        <v>2540</v>
      </c>
      <c r="X14" s="79">
        <f>Edward!X30</f>
        <v>2116.6666666666665</v>
      </c>
      <c r="Y14" s="79">
        <f>Edward!Y30</f>
        <v>1221.0899999999999</v>
      </c>
      <c r="Z14" s="79">
        <f>Edward!Z30</f>
        <v>895.57666666666671</v>
      </c>
      <c r="AA14" s="79"/>
      <c r="AB14" s="78">
        <f>Edward!AB30</f>
        <v>2493</v>
      </c>
      <c r="AC14" s="79">
        <f>Edward!AC30</f>
        <v>2077.5</v>
      </c>
      <c r="AD14" s="79">
        <f>Edward!AD30</f>
        <v>1431.77</v>
      </c>
      <c r="AE14" s="79">
        <f>Edward!AE30</f>
        <v>645.73000000000013</v>
      </c>
      <c r="AF14" s="79"/>
      <c r="AG14" s="153">
        <f>Edward!AG30</f>
        <v>32704.565714285716</v>
      </c>
      <c r="AH14" s="153">
        <f t="shared" si="4"/>
        <v>32704.565714285716</v>
      </c>
      <c r="AI14" s="153">
        <f t="shared" si="5"/>
        <v>0</v>
      </c>
      <c r="AK14" s="233"/>
      <c r="AL14" s="233"/>
    </row>
    <row r="15" spans="1:38" ht="15.6" x14ac:dyDescent="0.25">
      <c r="A15" s="171" t="s">
        <v>57</v>
      </c>
      <c r="B15" s="171"/>
      <c r="C15" s="78">
        <f t="shared" si="2"/>
        <v>945</v>
      </c>
      <c r="D15" s="78">
        <f>Kingswood!D34</f>
        <v>945</v>
      </c>
      <c r="E15" s="78">
        <f>Kingswood!E34</f>
        <v>9121</v>
      </c>
      <c r="F15" s="171"/>
      <c r="G15" s="158">
        <v>8176</v>
      </c>
      <c r="H15" s="59">
        <f t="shared" si="0"/>
        <v>-160.54476190476271</v>
      </c>
      <c r="I15" s="78">
        <f>Kingswood!I34</f>
        <v>8176</v>
      </c>
      <c r="J15" s="83">
        <f>I15/12*Summary!$H$30</f>
        <v>6813.3333333333339</v>
      </c>
      <c r="K15" s="79">
        <f>Kingswood!K34</f>
        <v>8194.35</v>
      </c>
      <c r="L15" s="61">
        <f>J15-K15</f>
        <v>-1381.0166666666664</v>
      </c>
      <c r="N15" s="158">
        <v>8338</v>
      </c>
      <c r="O15" s="59">
        <f t="shared" si="1"/>
        <v>-563.45523809523729</v>
      </c>
      <c r="P15" s="78">
        <f>Kingswood!P34</f>
        <v>8336.5447619047627</v>
      </c>
      <c r="Q15" s="79">
        <f>Kingswood!Q34</f>
        <v>8336.5447619047627</v>
      </c>
      <c r="R15" s="79">
        <f>Kingswood!R34</f>
        <v>9439</v>
      </c>
      <c r="S15" s="79">
        <f>Kingswood!S34</f>
        <v>-1102.455238095238</v>
      </c>
      <c r="T15" s="79"/>
      <c r="U15" s="172">
        <v>8099</v>
      </c>
      <c r="V15" s="77">
        <f>Kingswood!V34</f>
        <v>882</v>
      </c>
      <c r="W15" s="78">
        <f>Kingswood!W34</f>
        <v>8900</v>
      </c>
      <c r="X15" s="79">
        <f>Kingswood!X34</f>
        <v>7416.6666666666661</v>
      </c>
      <c r="Y15" s="79">
        <f>Kingswood!Y34</f>
        <v>14920.18</v>
      </c>
      <c r="Z15" s="79">
        <f>Kingswood!Z34</f>
        <v>-11811.846666666668</v>
      </c>
      <c r="AA15" s="79"/>
      <c r="AB15" s="78">
        <f>Kingswood!AB34</f>
        <v>8018</v>
      </c>
      <c r="AC15" s="79">
        <f>Kingswood!AC34</f>
        <v>6681.6666666666661</v>
      </c>
      <c r="AD15" s="79">
        <f>Kingswood!AD34</f>
        <v>9120.73</v>
      </c>
      <c r="AE15" s="79">
        <f>Kingswood!AE34</f>
        <v>-2439.063333333333</v>
      </c>
      <c r="AF15" s="79"/>
      <c r="AG15" s="153">
        <f>Kingswood!AG34</f>
        <v>97842.634285714303</v>
      </c>
      <c r="AH15" s="153">
        <f t="shared" si="4"/>
        <v>97842.634285714303</v>
      </c>
      <c r="AI15" s="153">
        <f t="shared" si="5"/>
        <v>0</v>
      </c>
      <c r="AK15" s="233"/>
      <c r="AL15" s="233"/>
    </row>
    <row r="16" spans="1:38" ht="15.6" x14ac:dyDescent="0.25">
      <c r="A16" s="173" t="s">
        <v>58</v>
      </c>
      <c r="B16" s="173"/>
      <c r="C16" s="78">
        <f t="shared" si="2"/>
        <v>4295</v>
      </c>
      <c r="D16" s="78">
        <f>'Muxlow '!D31</f>
        <v>4295</v>
      </c>
      <c r="E16" s="78">
        <f>'Muxlow '!E31</f>
        <v>10057</v>
      </c>
      <c r="F16" s="173"/>
      <c r="G16" s="158">
        <v>5762</v>
      </c>
      <c r="H16" s="59">
        <f t="shared" si="0"/>
        <v>-265.36253968254005</v>
      </c>
      <c r="I16" s="78">
        <f>'Muxlow '!I31</f>
        <v>5762</v>
      </c>
      <c r="J16" s="83">
        <f>I16/12*Summary!$H$30</f>
        <v>4801.666666666667</v>
      </c>
      <c r="K16" s="79">
        <f>'Muxlow '!K31</f>
        <v>5069.6666666666661</v>
      </c>
      <c r="L16" s="61">
        <f t="shared" si="3"/>
        <v>-267.99999999999909</v>
      </c>
      <c r="N16" s="158">
        <v>6027</v>
      </c>
      <c r="O16" s="59">
        <f t="shared" ref="O16:O22" si="6">P16-W16</f>
        <v>-1062.63746031746</v>
      </c>
      <c r="P16" s="78">
        <f>'Muxlow '!P31</f>
        <v>6027.36253968254</v>
      </c>
      <c r="Q16" s="79">
        <f>'Muxlow '!Q31</f>
        <v>6027.36253968254</v>
      </c>
      <c r="R16" s="79">
        <f>'Muxlow '!R31</f>
        <v>5964</v>
      </c>
      <c r="S16" s="79">
        <f>'Muxlow '!S31</f>
        <v>63.362539682539705</v>
      </c>
      <c r="T16" s="79"/>
      <c r="U16" s="172">
        <v>5786</v>
      </c>
      <c r="V16" s="77">
        <f>'Muxlow '!V31</f>
        <v>1362</v>
      </c>
      <c r="W16" s="78">
        <f>'Muxlow '!W31</f>
        <v>7090</v>
      </c>
      <c r="X16" s="79">
        <f>'Muxlow '!X31</f>
        <v>5908.3333333333339</v>
      </c>
      <c r="Y16" s="79">
        <f>'Muxlow '!Y31</f>
        <v>1689.62</v>
      </c>
      <c r="Z16" s="79">
        <f>'Muxlow '!Z31</f>
        <v>4218.7133333333331</v>
      </c>
      <c r="AA16" s="79"/>
      <c r="AB16" s="78">
        <f>'Muxlow '!AB31</f>
        <v>5728</v>
      </c>
      <c r="AC16" s="79">
        <f>'Muxlow '!AC31</f>
        <v>4773.3333333333339</v>
      </c>
      <c r="AD16" s="79">
        <f>'Muxlow '!AD31</f>
        <v>7196.35</v>
      </c>
      <c r="AE16" s="79">
        <f>'Muxlow '!AE31</f>
        <v>-2423.0166666666664</v>
      </c>
      <c r="AF16" s="79"/>
      <c r="AG16" s="153">
        <f>'Muxlow '!AG31</f>
        <v>82014.754285714283</v>
      </c>
      <c r="AH16" s="153">
        <f t="shared" si="4"/>
        <v>82014.754285714269</v>
      </c>
      <c r="AI16" s="153">
        <f t="shared" si="5"/>
        <v>0</v>
      </c>
      <c r="AK16" s="233"/>
      <c r="AL16" s="233"/>
    </row>
    <row r="17" spans="1:38" ht="15.6" x14ac:dyDescent="0.25">
      <c r="A17" s="173" t="s">
        <v>59</v>
      </c>
      <c r="B17" s="173"/>
      <c r="C17" s="78">
        <f t="shared" si="2"/>
        <v>2467</v>
      </c>
      <c r="D17" s="78">
        <f>Peveril!D31</f>
        <v>2467</v>
      </c>
      <c r="E17" s="78">
        <f>Peveril!E31</f>
        <v>6172</v>
      </c>
      <c r="F17" s="173"/>
      <c r="G17" s="158">
        <v>3705</v>
      </c>
      <c r="H17" s="59">
        <f t="shared" si="0"/>
        <v>-190.83174603174621</v>
      </c>
      <c r="I17" s="78">
        <f>Peveril!I31</f>
        <v>3705</v>
      </c>
      <c r="J17" s="83">
        <f>I17/12*Summary!$H$30</f>
        <v>3087.5</v>
      </c>
      <c r="K17" s="79">
        <f>Peveril!K31</f>
        <v>3996</v>
      </c>
      <c r="L17" s="61">
        <f t="shared" si="3"/>
        <v>-908.5</v>
      </c>
      <c r="N17" s="158">
        <v>3896</v>
      </c>
      <c r="O17" s="59">
        <f t="shared" si="6"/>
        <v>-74.168253968253794</v>
      </c>
      <c r="P17" s="78">
        <f>Peveril!P31</f>
        <v>3895.8317460317462</v>
      </c>
      <c r="Q17" s="79">
        <f>Peveril!Q31</f>
        <v>3895.8317460317462</v>
      </c>
      <c r="R17" s="79">
        <f>Peveril!R31</f>
        <v>4440</v>
      </c>
      <c r="S17" s="79">
        <f>Peveril!S31</f>
        <v>-544.16825396825402</v>
      </c>
      <c r="T17" s="79"/>
      <c r="U17" s="172">
        <v>3756</v>
      </c>
      <c r="V17" s="77">
        <f>Peveril!V31</f>
        <v>252</v>
      </c>
      <c r="W17" s="78">
        <f>Peveril!W31</f>
        <v>3970</v>
      </c>
      <c r="X17" s="79">
        <f>Peveril!X31</f>
        <v>3308.3333333333335</v>
      </c>
      <c r="Y17" s="79">
        <f>Peveril!Y31</f>
        <v>2032.45</v>
      </c>
      <c r="Z17" s="79">
        <f>Peveril!Z31</f>
        <v>1275.8833333333334</v>
      </c>
      <c r="AA17" s="79"/>
      <c r="AB17" s="78">
        <f>Peveril!AB31</f>
        <v>3718</v>
      </c>
      <c r="AC17" s="79">
        <f>Peveril!AC31</f>
        <v>3098.3333333333335</v>
      </c>
      <c r="AD17" s="79">
        <f>Peveril!AD31</f>
        <v>2726.95</v>
      </c>
      <c r="AE17" s="79">
        <f>Peveril!AE31</f>
        <v>-276.63000000000005</v>
      </c>
      <c r="AF17" s="79"/>
      <c r="AG17" s="153">
        <f>Peveril!AG31</f>
        <v>50046.815238095231</v>
      </c>
      <c r="AH17" s="153">
        <f t="shared" si="4"/>
        <v>50046.815238095238</v>
      </c>
      <c r="AI17" s="153">
        <f t="shared" si="5"/>
        <v>0</v>
      </c>
      <c r="AK17" s="233"/>
      <c r="AL17" s="233"/>
    </row>
    <row r="18" spans="1:38" ht="15.6" x14ac:dyDescent="0.25">
      <c r="A18" s="173" t="s">
        <v>60</v>
      </c>
      <c r="B18" s="173"/>
      <c r="C18" s="78">
        <f t="shared" si="2"/>
        <v>454.5</v>
      </c>
      <c r="D18" s="78">
        <f>'Sheaf 1'!D33</f>
        <v>454</v>
      </c>
      <c r="E18" s="78">
        <f>'Sheaf 1'!E33</f>
        <v>6679</v>
      </c>
      <c r="F18" s="173"/>
      <c r="G18" s="158">
        <v>6224.5</v>
      </c>
      <c r="H18" s="59">
        <f t="shared" si="0"/>
        <v>416.01904761904734</v>
      </c>
      <c r="I18" s="78">
        <f>'Sheaf 1'!I33</f>
        <v>6225</v>
      </c>
      <c r="J18" s="83">
        <f>I18/12*Summary!$H$30</f>
        <v>5187.5</v>
      </c>
      <c r="K18" s="79">
        <f>'Sheaf 1'!K33</f>
        <v>4659</v>
      </c>
      <c r="L18" s="61">
        <f t="shared" si="3"/>
        <v>528.5</v>
      </c>
      <c r="N18" s="158">
        <v>5809</v>
      </c>
      <c r="O18" s="59">
        <f t="shared" si="6"/>
        <v>-1411.0190476190473</v>
      </c>
      <c r="P18" s="78">
        <f>'Sheaf 1'!P33</f>
        <v>5808.9809523809527</v>
      </c>
      <c r="Q18" s="79">
        <f>'Sheaf 1'!Q33</f>
        <v>5808.9809523809527</v>
      </c>
      <c r="R18" s="79">
        <f>'Sheaf 1'!R33</f>
        <v>7931</v>
      </c>
      <c r="S18" s="79">
        <f>'Sheaf 1'!S33</f>
        <v>-2122.0190476190473</v>
      </c>
      <c r="T18" s="79"/>
      <c r="U18" s="172">
        <v>5644</v>
      </c>
      <c r="V18" s="77">
        <f>'Sheaf 1'!V33</f>
        <v>1632</v>
      </c>
      <c r="W18" s="78">
        <f>'Sheaf 1'!W33</f>
        <v>7220</v>
      </c>
      <c r="X18" s="79">
        <f>'Sheaf 1'!X33</f>
        <v>6016.6666666666661</v>
      </c>
      <c r="Y18" s="79">
        <f>'Sheaf 1'!Y33</f>
        <v>5886.84</v>
      </c>
      <c r="Z18" s="79">
        <f>'Sheaf 1'!Z33</f>
        <v>129.82666666666728</v>
      </c>
      <c r="AA18" s="79"/>
      <c r="AB18" s="78">
        <f>'Sheaf 1'!AB33</f>
        <v>5588</v>
      </c>
      <c r="AC18" s="79">
        <f>'Sheaf 1'!AC33</f>
        <v>4656.6666666666661</v>
      </c>
      <c r="AD18" s="79">
        <f>'Sheaf 1'!AD33</f>
        <v>4307.1499999999996</v>
      </c>
      <c r="AE18" s="79">
        <f>'Sheaf 1'!AE33</f>
        <v>349.51666666666654</v>
      </c>
      <c r="AF18" s="79"/>
      <c r="AG18" s="153">
        <f>'Sheaf 1'!AG33</f>
        <v>75951.609523809529</v>
      </c>
      <c r="AH18" s="153">
        <f t="shared" si="4"/>
        <v>75951.609523809515</v>
      </c>
      <c r="AI18" s="153">
        <f t="shared" si="5"/>
        <v>0</v>
      </c>
      <c r="AK18" s="233"/>
      <c r="AL18" s="233"/>
    </row>
    <row r="19" spans="1:38" ht="15.6" x14ac:dyDescent="0.25">
      <c r="A19" s="173" t="s">
        <v>61</v>
      </c>
      <c r="B19" s="173"/>
      <c r="C19" s="78">
        <f t="shared" si="2"/>
        <v>-86</v>
      </c>
      <c r="D19" s="78">
        <f>'Sheaf 2'!D40</f>
        <v>-86</v>
      </c>
      <c r="E19" s="78">
        <f>'Sheaf 2'!E40</f>
        <v>23325</v>
      </c>
      <c r="F19" s="173"/>
      <c r="G19" s="158">
        <v>23411</v>
      </c>
      <c r="H19" s="59">
        <f t="shared" si="0"/>
        <v>2031.6666666666642</v>
      </c>
      <c r="I19" s="78">
        <f>'Sheaf 2'!I40</f>
        <v>23411</v>
      </c>
      <c r="J19" s="83">
        <f>I19/12*Summary!$H$30</f>
        <v>19509.166666666668</v>
      </c>
      <c r="K19" s="79">
        <f>'Sheaf 2'!K40</f>
        <v>19590.356666666667</v>
      </c>
      <c r="L19" s="61">
        <f t="shared" si="3"/>
        <v>-81.18999999999869</v>
      </c>
      <c r="N19" s="158">
        <v>21380</v>
      </c>
      <c r="O19" s="59">
        <f t="shared" si="6"/>
        <v>805.9333333333343</v>
      </c>
      <c r="P19" s="78">
        <f>'Sheaf 2'!P40</f>
        <v>21379.333333333336</v>
      </c>
      <c r="Q19" s="79">
        <f>'Sheaf 2'!Q40</f>
        <v>21379.333333333336</v>
      </c>
      <c r="R19" s="79">
        <f>'Sheaf 2'!R40</f>
        <v>21323</v>
      </c>
      <c r="S19" s="79">
        <f>'Sheaf 2'!S40</f>
        <v>56.333333333333258</v>
      </c>
      <c r="T19" s="79"/>
      <c r="U19" s="172">
        <v>20331</v>
      </c>
      <c r="V19" s="77">
        <f>'Sheaf 2'!V40</f>
        <v>444.39999999999981</v>
      </c>
      <c r="W19" s="78">
        <f>'Sheaf 2'!W40</f>
        <v>20573.400000000001</v>
      </c>
      <c r="X19" s="79">
        <f>'Sheaf 2'!X40</f>
        <v>17144.5</v>
      </c>
      <c r="Y19" s="79">
        <f>'Sheaf 2'!Y40</f>
        <v>9791.2300000000014</v>
      </c>
      <c r="Z19" s="79">
        <f>'Sheaf 2'!Z40</f>
        <v>7353.2699999999986</v>
      </c>
      <c r="AA19" s="79"/>
      <c r="AB19" s="78">
        <f>'Sheaf 2'!AB40</f>
        <v>20129</v>
      </c>
      <c r="AC19" s="79">
        <f>'Sheaf 2'!AC40</f>
        <v>16774.166666666664</v>
      </c>
      <c r="AD19" s="79">
        <f>'Sheaf 2'!AD40</f>
        <v>18249.48</v>
      </c>
      <c r="AE19" s="79">
        <f>'Sheaf 2'!AE40</f>
        <v>-1475.3133333333335</v>
      </c>
      <c r="AF19" s="79"/>
      <c r="AG19" s="153">
        <f>'Sheaf 2'!AG40</f>
        <v>261628.06666666668</v>
      </c>
      <c r="AH19" s="153">
        <f t="shared" si="4"/>
        <v>261628.06666666671</v>
      </c>
      <c r="AI19" s="153">
        <f t="shared" si="5"/>
        <v>0</v>
      </c>
      <c r="AK19" s="233"/>
      <c r="AL19" s="233"/>
    </row>
    <row r="20" spans="1:38" ht="15.6" x14ac:dyDescent="0.25">
      <c r="A20" s="173" t="s">
        <v>62</v>
      </c>
      <c r="B20" s="173"/>
      <c r="C20" s="78">
        <f t="shared" si="2"/>
        <v>661</v>
      </c>
      <c r="D20" s="78">
        <f>'Sheaf 3 Apts'!D29</f>
        <v>661</v>
      </c>
      <c r="E20" s="78">
        <f>'Sheaf 3 Apts'!E29</f>
        <v>2673</v>
      </c>
      <c r="F20" s="173"/>
      <c r="G20" s="158">
        <v>2012</v>
      </c>
      <c r="H20" s="59">
        <f t="shared" si="0"/>
        <v>-180.84190476190497</v>
      </c>
      <c r="I20" s="78">
        <f>'Sheaf 3 Apts'!I29</f>
        <v>2012</v>
      </c>
      <c r="J20" s="83">
        <f>I20/12*Summary!$H$30</f>
        <v>1676.6666666666665</v>
      </c>
      <c r="K20" s="79">
        <f>'Sheaf 3 Apts'!K29</f>
        <v>1890.8333333333335</v>
      </c>
      <c r="L20" s="61">
        <f t="shared" si="3"/>
        <v>-214.16666666666697</v>
      </c>
      <c r="N20" s="158">
        <v>3653</v>
      </c>
      <c r="O20" s="59">
        <f t="shared" si="6"/>
        <v>272.84190476190497</v>
      </c>
      <c r="P20" s="78">
        <f>'Sheaf 3 Apts'!P29</f>
        <v>2192.841904761905</v>
      </c>
      <c r="Q20" s="79">
        <f>'Sheaf 3 Apts'!Q29</f>
        <v>2192.841904761905</v>
      </c>
      <c r="R20" s="79">
        <f>'Sheaf 3 Apts'!R29</f>
        <v>2720</v>
      </c>
      <c r="S20" s="79">
        <f>'Sheaf 3 Apts'!S29</f>
        <v>-527.15809523809514</v>
      </c>
      <c r="T20" s="79"/>
      <c r="U20" s="172">
        <v>1687</v>
      </c>
      <c r="V20" s="77">
        <f>'Sheaf 3 Apts'!V29</f>
        <v>177</v>
      </c>
      <c r="W20" s="78">
        <f>'Sheaf 3 Apts'!W29</f>
        <v>1920</v>
      </c>
      <c r="X20" s="79">
        <f>'Sheaf 3 Apts'!X29</f>
        <v>1600</v>
      </c>
      <c r="Y20" s="79">
        <f>'Sheaf 3 Apts'!Y29</f>
        <v>1689.55</v>
      </c>
      <c r="Z20" s="79">
        <f>'Sheaf 3 Apts'!Z29</f>
        <v>-89.550000000000068</v>
      </c>
      <c r="AA20" s="79"/>
      <c r="AB20" s="78">
        <f>'Sheaf 3 Apts'!AB29</f>
        <v>1743</v>
      </c>
      <c r="AC20" s="79">
        <f>'Sheaf 3 Apts'!AC29</f>
        <v>1452.5</v>
      </c>
      <c r="AD20" s="79">
        <f>'Sheaf 3 Apts'!AD29</f>
        <v>1138</v>
      </c>
      <c r="AE20" s="79">
        <f>'Sheaf 3 Apts'!AE29</f>
        <v>314.50000000000011</v>
      </c>
      <c r="AF20" s="79"/>
      <c r="AG20" s="153">
        <f>'Sheaf 3 Apts'!AG29</f>
        <v>25314.859047619047</v>
      </c>
      <c r="AH20" s="153">
        <f t="shared" si="4"/>
        <v>25314.859047619051</v>
      </c>
      <c r="AI20" s="153">
        <f t="shared" si="5"/>
        <v>0</v>
      </c>
      <c r="AK20" s="233"/>
      <c r="AL20" s="233"/>
    </row>
    <row r="21" spans="1:38" ht="15.6" x14ac:dyDescent="0.25">
      <c r="A21" s="171" t="s">
        <v>63</v>
      </c>
      <c r="B21" s="171"/>
      <c r="C21" s="78">
        <f t="shared" si="2"/>
        <v>1535</v>
      </c>
      <c r="D21" s="78">
        <f>'Sheaf 3 Building'!D14</f>
        <v>1535</v>
      </c>
      <c r="E21" s="78">
        <f>'Sheaf 3 Building'!E14</f>
        <v>4440</v>
      </c>
      <c r="F21" s="171"/>
      <c r="G21" s="158">
        <v>2905</v>
      </c>
      <c r="H21" s="59">
        <f t="shared" si="0"/>
        <v>-435</v>
      </c>
      <c r="I21" s="78">
        <f>'Sheaf 3 Building'!I14</f>
        <v>2905</v>
      </c>
      <c r="J21" s="83">
        <f>I21/12*Summary!$H$30</f>
        <v>2420.8333333333335</v>
      </c>
      <c r="K21" s="79">
        <f>'Sheaf 3 Building'!K14</f>
        <v>2421.1666666666665</v>
      </c>
      <c r="L21" s="61">
        <f t="shared" si="3"/>
        <v>-0.33333333333303017</v>
      </c>
      <c r="N21" s="158">
        <v>1670</v>
      </c>
      <c r="O21" s="59">
        <f t="shared" si="6"/>
        <v>0</v>
      </c>
      <c r="P21" s="78">
        <f>'Sheaf 3 Building'!P14</f>
        <v>3340</v>
      </c>
      <c r="Q21" s="79">
        <f>'Sheaf 3 Building'!Q14</f>
        <v>3340</v>
      </c>
      <c r="R21" s="79">
        <f>'Sheaf 3 Building'!R14</f>
        <v>2900</v>
      </c>
      <c r="S21" s="79">
        <f>'Sheaf 3 Building'!S14</f>
        <v>440</v>
      </c>
      <c r="T21" s="79"/>
      <c r="U21" s="172">
        <v>3448</v>
      </c>
      <c r="V21" s="77">
        <f>'Sheaf 3 Building'!V14</f>
        <v>0</v>
      </c>
      <c r="W21" s="78">
        <f>'Sheaf 3 Building'!W14</f>
        <v>3340</v>
      </c>
      <c r="X21" s="79">
        <f>'Sheaf 3 Building'!X14</f>
        <v>2783.333333333333</v>
      </c>
      <c r="Y21" s="79">
        <f>'Sheaf 3 Building'!Y14</f>
        <v>0</v>
      </c>
      <c r="Z21" s="79">
        <f>'Sheaf 3 Building'!Z14</f>
        <v>2783.333333333333</v>
      </c>
      <c r="AA21" s="79"/>
      <c r="AB21" s="78">
        <f>'Sheaf 3 Building'!AB14</f>
        <v>3340</v>
      </c>
      <c r="AC21" s="79">
        <f>'Sheaf 3 Building'!AC14</f>
        <v>2783.333333333333</v>
      </c>
      <c r="AD21" s="79">
        <f>'Sheaf 3 Building'!AD14</f>
        <v>2175</v>
      </c>
      <c r="AE21" s="79">
        <f>'Sheaf 3 Building'!AE14</f>
        <v>608.33333333333314</v>
      </c>
      <c r="AF21" s="79"/>
      <c r="AG21" s="153">
        <f>'Sheaf 3 Building'!AG14</f>
        <v>41120</v>
      </c>
      <c r="AH21" s="153">
        <f t="shared" si="4"/>
        <v>41120.000000000015</v>
      </c>
      <c r="AI21" s="153">
        <f t="shared" si="5"/>
        <v>0</v>
      </c>
      <c r="AK21" s="233"/>
      <c r="AL21" s="233"/>
    </row>
    <row r="22" spans="1:38" ht="15.6" x14ac:dyDescent="0.25">
      <c r="A22" s="171" t="s">
        <v>64</v>
      </c>
      <c r="B22" s="171"/>
      <c r="C22" s="78">
        <f t="shared" si="2"/>
        <v>926</v>
      </c>
      <c r="D22" s="78">
        <f>Victoria!D31</f>
        <v>926</v>
      </c>
      <c r="E22" s="78">
        <f>Victoria!E31</f>
        <v>3611</v>
      </c>
      <c r="F22" s="171"/>
      <c r="G22" s="158">
        <v>2685</v>
      </c>
      <c r="H22" s="59">
        <f t="shared" si="0"/>
        <v>-293.32190476190499</v>
      </c>
      <c r="I22" s="78">
        <f>Victoria!I31</f>
        <v>2685</v>
      </c>
      <c r="J22" s="83">
        <f>I22/12*Summary!$H$30</f>
        <v>2237.5</v>
      </c>
      <c r="K22" s="79">
        <f>Victoria!K31</f>
        <v>1682.3333333333333</v>
      </c>
      <c r="L22" s="61">
        <f t="shared" si="3"/>
        <v>555.16666666666674</v>
      </c>
      <c r="N22" s="158">
        <v>2618</v>
      </c>
      <c r="O22" s="59">
        <f t="shared" si="6"/>
        <v>-296.67809523809501</v>
      </c>
      <c r="P22" s="78">
        <f>Victoria!P31</f>
        <v>2978.321904761905</v>
      </c>
      <c r="Q22" s="79">
        <f>Victoria!Q31</f>
        <v>2978.321904761905</v>
      </c>
      <c r="R22" s="79">
        <f>Victoria!R31</f>
        <v>3420</v>
      </c>
      <c r="S22" s="79">
        <f>Victoria!S31</f>
        <v>-441.67809523809512</v>
      </c>
      <c r="T22" s="79"/>
      <c r="U22" s="172">
        <v>2756</v>
      </c>
      <c r="V22" s="77">
        <f>Victoria!V31</f>
        <v>547</v>
      </c>
      <c r="W22" s="78">
        <f>Victoria!W31</f>
        <v>3275</v>
      </c>
      <c r="X22" s="79">
        <f>Victoria!X31</f>
        <v>2729.166666666667</v>
      </c>
      <c r="Y22" s="79">
        <f>Victoria!Y31</f>
        <v>1409.9099999999999</v>
      </c>
      <c r="Z22" s="79">
        <f>Victoria!Z31</f>
        <v>1319.2566666666667</v>
      </c>
      <c r="AA22" s="79"/>
      <c r="AB22" s="78">
        <f>Victoria!AB31</f>
        <v>2728</v>
      </c>
      <c r="AC22" s="79">
        <f>Victoria!AC31</f>
        <v>2273.333333333333</v>
      </c>
      <c r="AD22" s="79">
        <f>Victoria!AD31</f>
        <v>1874.1999999999998</v>
      </c>
      <c r="AE22" s="79">
        <f>Victoria!AE31</f>
        <v>399.13333333333338</v>
      </c>
      <c r="AF22" s="79"/>
      <c r="AG22" s="153">
        <f>Victoria!AG31</f>
        <v>36596.96571428571</v>
      </c>
      <c r="AH22" s="153">
        <f t="shared" si="4"/>
        <v>36596.96571428571</v>
      </c>
      <c r="AI22" s="153">
        <f t="shared" si="5"/>
        <v>0</v>
      </c>
      <c r="AK22" s="233"/>
      <c r="AL22" s="233"/>
    </row>
    <row r="23" spans="1:38" x14ac:dyDescent="0.25">
      <c r="H23" s="77"/>
      <c r="J23" s="79"/>
      <c r="K23" s="79"/>
      <c r="L23" s="79"/>
      <c r="N23" s="19"/>
      <c r="O23" s="77"/>
      <c r="P23" s="78"/>
      <c r="Q23" s="79"/>
      <c r="R23" s="79"/>
      <c r="S23" s="79"/>
      <c r="T23" s="79"/>
      <c r="U23" s="19"/>
      <c r="V23" s="77"/>
      <c r="W23" s="78"/>
      <c r="X23" s="79"/>
      <c r="Y23" s="79"/>
      <c r="Z23" s="79"/>
      <c r="AA23" s="79"/>
      <c r="AB23" s="78"/>
      <c r="AC23" s="79"/>
      <c r="AD23" s="79"/>
      <c r="AE23" s="79"/>
      <c r="AF23" s="79"/>
      <c r="AG23" s="79"/>
      <c r="AH23" s="79"/>
      <c r="AI23" s="79"/>
      <c r="AK23" s="233"/>
      <c r="AL23" s="233"/>
    </row>
    <row r="24" spans="1:38" ht="16.2" thickBot="1" x14ac:dyDescent="0.3">
      <c r="A24" s="174" t="s">
        <v>1</v>
      </c>
      <c r="B24" s="208"/>
      <c r="C24" s="63">
        <f>SUM(C8:C23)</f>
        <v>45538.100000000006</v>
      </c>
      <c r="D24" s="63">
        <f>SUM(D8:D23)</f>
        <v>44832.68</v>
      </c>
      <c r="E24" s="64">
        <f>SUM(E8:E23)</f>
        <v>363612.6</v>
      </c>
      <c r="F24" s="208"/>
      <c r="G24" s="159">
        <f>SUM(G8:G23)</f>
        <v>318074.5</v>
      </c>
      <c r="H24" s="63">
        <f>SUM(H8:H23)</f>
        <v>4731.2896825396592</v>
      </c>
      <c r="I24" s="64">
        <f>SUM(I8:I23)</f>
        <v>318779.92</v>
      </c>
      <c r="J24" s="66">
        <f t="shared" ref="J24:L24" si="7">SUM(J8:J23)</f>
        <v>265649.93333333329</v>
      </c>
      <c r="K24" s="66">
        <f t="shared" si="7"/>
        <v>236196.01666666663</v>
      </c>
      <c r="L24" s="66">
        <f t="shared" si="7"/>
        <v>29453.916666666646</v>
      </c>
      <c r="N24" s="159">
        <f>SUM(N8:N23)</f>
        <v>301997</v>
      </c>
      <c r="O24" s="63">
        <f>SUM(O8:O23)</f>
        <v>12669.230317460326</v>
      </c>
      <c r="P24" s="184">
        <f>SUM(P8:P23)</f>
        <v>314048.63031746022</v>
      </c>
      <c r="Q24" s="66">
        <f t="shared" ref="Q24:S24" si="8">SUM(Q8:Q23)</f>
        <v>313732.9769841269</v>
      </c>
      <c r="R24" s="66">
        <f t="shared" si="8"/>
        <v>329518</v>
      </c>
      <c r="S24" s="66">
        <f t="shared" si="8"/>
        <v>-15785.023015873017</v>
      </c>
      <c r="T24" s="65"/>
      <c r="U24" s="159">
        <f t="shared" ref="U24:Z24" si="9">SUM(U8:U23)</f>
        <v>287088</v>
      </c>
      <c r="V24" s="63">
        <f t="shared" si="9"/>
        <v>17818.400000000001</v>
      </c>
      <c r="W24" s="64">
        <f t="shared" si="9"/>
        <v>301379.40000000002</v>
      </c>
      <c r="X24" s="66">
        <f t="shared" si="9"/>
        <v>251149.50000000003</v>
      </c>
      <c r="Y24" s="66">
        <f t="shared" si="9"/>
        <v>202348.87300000002</v>
      </c>
      <c r="Z24" s="66">
        <f t="shared" si="9"/>
        <v>44492.293666666672</v>
      </c>
      <c r="AA24" s="65"/>
      <c r="AB24" s="67">
        <f>SUM(AB8:AB23)</f>
        <v>283561</v>
      </c>
      <c r="AC24" s="66">
        <f>SUM(AC8:AC23)</f>
        <v>236301.16666666663</v>
      </c>
      <c r="AD24" s="66">
        <f>SUM(AD8:AD23)</f>
        <v>267065.76000000007</v>
      </c>
      <c r="AE24" s="66">
        <f>SUM(AE8:AE23)</f>
        <v>-31412.606666666659</v>
      </c>
      <c r="AF24" s="79"/>
      <c r="AG24" s="79"/>
      <c r="AH24" s="79"/>
      <c r="AI24" s="79"/>
      <c r="AK24" s="233"/>
      <c r="AL24" s="233"/>
    </row>
    <row r="25" spans="1:3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328"/>
      <c r="K25" s="328"/>
      <c r="L25" s="328"/>
      <c r="M25" s="11"/>
      <c r="N25" s="11"/>
      <c r="O25" s="11"/>
      <c r="P25" s="11"/>
      <c r="Q25" s="11"/>
      <c r="R25" s="11"/>
      <c r="S25" s="11"/>
      <c r="T25" s="11"/>
      <c r="U25" s="225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K25" s="233"/>
      <c r="AL25" s="233"/>
    </row>
    <row r="26" spans="1:38" ht="19.8" x14ac:dyDescent="0.25">
      <c r="A26" s="351" t="s">
        <v>196</v>
      </c>
      <c r="B26" s="351"/>
      <c r="C26" s="351"/>
      <c r="D26" s="351"/>
      <c r="E26" s="352">
        <v>5.0000000000000001E-3</v>
      </c>
      <c r="H26" s="434" t="s">
        <v>222</v>
      </c>
      <c r="I26" s="435">
        <v>1.7000000000000001E-2</v>
      </c>
      <c r="N26" s="272"/>
      <c r="O26" s="434" t="s">
        <v>221</v>
      </c>
      <c r="P26" s="435">
        <v>2.4E-2</v>
      </c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K26" s="233"/>
      <c r="AL26" s="233"/>
    </row>
    <row r="27" spans="1:38" x14ac:dyDescent="0.25">
      <c r="A27" s="235" t="s">
        <v>228</v>
      </c>
      <c r="B27" s="235"/>
      <c r="C27" s="235"/>
      <c r="D27" s="235"/>
      <c r="E27" s="235"/>
      <c r="F27" s="235"/>
      <c r="N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K27" s="233"/>
      <c r="AL27" s="233"/>
    </row>
    <row r="28" spans="1:38" x14ac:dyDescent="0.25">
      <c r="N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K28" s="233"/>
      <c r="AL28" s="233"/>
    </row>
    <row r="29" spans="1:38" ht="21" x14ac:dyDescent="0.25">
      <c r="A29" s="506" t="s">
        <v>198</v>
      </c>
      <c r="D29" s="502">
        <v>2021</v>
      </c>
      <c r="E29" s="503"/>
      <c r="H29" s="502">
        <v>2020</v>
      </c>
      <c r="I29" s="503"/>
      <c r="J29" s="513" t="s">
        <v>206</v>
      </c>
      <c r="K29" s="483"/>
      <c r="L29" s="483"/>
      <c r="M29" s="514"/>
      <c r="N29" s="514"/>
      <c r="O29" s="514"/>
      <c r="AK29" s="233"/>
      <c r="AL29" s="233"/>
    </row>
    <row r="30" spans="1:38" x14ac:dyDescent="0.25">
      <c r="A30" s="507"/>
      <c r="D30" s="515">
        <v>12</v>
      </c>
      <c r="E30" s="511" t="str">
        <f>TEXT(DATE(1900,D30,1),"MMMM")</f>
        <v>December</v>
      </c>
      <c r="H30" s="515">
        <v>10</v>
      </c>
      <c r="I30" s="511" t="str">
        <f>TEXT(DATE(1900,H30,1),"MMMM")</f>
        <v>October</v>
      </c>
      <c r="J30" s="483"/>
      <c r="K30" s="483"/>
      <c r="L30" s="483"/>
      <c r="M30" s="514"/>
      <c r="N30" s="514"/>
      <c r="O30" s="514"/>
      <c r="AK30" s="233"/>
      <c r="AL30" s="233"/>
    </row>
    <row r="31" spans="1:38" x14ac:dyDescent="0.25">
      <c r="A31" s="508"/>
      <c r="D31" s="520"/>
      <c r="E31" s="521"/>
      <c r="H31" s="516"/>
      <c r="I31" s="512"/>
      <c r="J31" s="483"/>
      <c r="K31" s="483"/>
      <c r="L31" s="483"/>
      <c r="M31" s="514"/>
      <c r="N31" s="514"/>
      <c r="O31" s="514"/>
    </row>
    <row r="32" spans="1:38" x14ac:dyDescent="0.25">
      <c r="D32" s="518"/>
      <c r="E32" s="519"/>
      <c r="H32" s="518" t="s">
        <v>223</v>
      </c>
      <c r="I32" s="519"/>
      <c r="O32" s="229"/>
      <c r="P32" s="97"/>
      <c r="Q32" s="97"/>
      <c r="R32" s="97"/>
      <c r="S32" s="97"/>
      <c r="T32" s="226"/>
    </row>
    <row r="33" spans="1:20" x14ac:dyDescent="0.25">
      <c r="A33" s="489" t="s">
        <v>228</v>
      </c>
      <c r="B33" s="483"/>
      <c r="C33" s="483"/>
      <c r="D33" s="483"/>
      <c r="E33" s="483"/>
      <c r="O33" s="229"/>
      <c r="P33" s="97"/>
      <c r="Q33" s="97"/>
      <c r="R33" s="97"/>
      <c r="S33" s="97"/>
      <c r="T33" s="226"/>
    </row>
    <row r="34" spans="1:20" x14ac:dyDescent="0.25">
      <c r="A34" s="483"/>
      <c r="B34" s="483"/>
      <c r="C34" s="483"/>
      <c r="D34" s="483"/>
      <c r="E34" s="483"/>
      <c r="P34" s="226"/>
      <c r="Q34" s="226"/>
      <c r="R34" s="226"/>
      <c r="S34" s="226"/>
      <c r="T34" s="226"/>
    </row>
    <row r="35" spans="1:20" x14ac:dyDescent="0.25">
      <c r="A35" s="483"/>
      <c r="B35" s="483"/>
      <c r="C35" s="483"/>
      <c r="D35" s="483"/>
      <c r="E35" s="483"/>
    </row>
  </sheetData>
  <mergeCells count="33">
    <mergeCell ref="AB3:AE3"/>
    <mergeCell ref="O4:O5"/>
    <mergeCell ref="V4:V5"/>
    <mergeCell ref="W4:X4"/>
    <mergeCell ref="AB4:AC4"/>
    <mergeCell ref="X5:Z5"/>
    <mergeCell ref="AC5:AE5"/>
    <mergeCell ref="P4:Q4"/>
    <mergeCell ref="Q5:S5"/>
    <mergeCell ref="N3:S3"/>
    <mergeCell ref="U3:Z3"/>
    <mergeCell ref="U4:U5"/>
    <mergeCell ref="AG6:AI6"/>
    <mergeCell ref="A29:A31"/>
    <mergeCell ref="A33:E35"/>
    <mergeCell ref="C4:C5"/>
    <mergeCell ref="I30:I31"/>
    <mergeCell ref="H29:I29"/>
    <mergeCell ref="J29:O31"/>
    <mergeCell ref="H30:H31"/>
    <mergeCell ref="H4:H5"/>
    <mergeCell ref="H32:I32"/>
    <mergeCell ref="D32:E32"/>
    <mergeCell ref="D30:D31"/>
    <mergeCell ref="E30:E31"/>
    <mergeCell ref="D4:D5"/>
    <mergeCell ref="E4:E5"/>
    <mergeCell ref="N4:N5"/>
    <mergeCell ref="G3:L3"/>
    <mergeCell ref="G4:G5"/>
    <mergeCell ref="I4:J4"/>
    <mergeCell ref="C3:E3"/>
    <mergeCell ref="D29:E29"/>
  </mergeCells>
  <phoneticPr fontId="21" type="noConversion"/>
  <pageMargins left="0.70866141732283472" right="0.70866141732283472" top="0.74803149606299213" bottom="0.15748031496062992" header="0.31496062992125984" footer="0.31496062992125984"/>
  <pageSetup paperSize="8" scale="42" fitToHeight="0" orientation="landscape" horizontalDpi="300" verticalDpi="300" r:id="rId1"/>
  <header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109"/>
  <sheetViews>
    <sheetView showGridLines="0" zoomScale="80" zoomScaleNormal="80" workbookViewId="0">
      <pane ySplit="5" topLeftCell="A21" activePane="bottomLeft" state="frozen"/>
      <selection activeCell="H32" sqref="H32:I32"/>
      <selection pane="bottomLeft" activeCell="D38" sqref="D38"/>
    </sheetView>
  </sheetViews>
  <sheetFormatPr defaultColWidth="9.109375" defaultRowHeight="14.4" x14ac:dyDescent="0.25"/>
  <cols>
    <col min="1" max="1" width="65.6640625" style="233" customWidth="1"/>
    <col min="2" max="3" width="1.6640625" style="233" customWidth="1"/>
    <col min="4" max="5" width="12.6640625" style="233" customWidth="1"/>
    <col min="6" max="6" width="1.6640625" style="201" customWidth="1"/>
    <col min="7" max="7" width="1.6640625" style="233" customWidth="1"/>
    <col min="8" max="8" width="12.6640625" style="202" customWidth="1"/>
    <col min="9" max="12" width="12.6640625" style="311" customWidth="1"/>
    <col min="13" max="14" width="1.6640625" style="238" customWidth="1"/>
    <col min="15" max="17" width="11.6640625" style="238" customWidth="1"/>
    <col min="18" max="18" width="11.6640625" style="233" customWidth="1"/>
    <col min="19" max="19" width="11.5546875" style="233" customWidth="1"/>
    <col min="20" max="21" width="1.6640625" style="233" customWidth="1"/>
    <col min="22" max="26" width="11.6640625" style="233" customWidth="1"/>
    <col min="27" max="27" width="2.6640625" style="233" customWidth="1"/>
    <col min="28" max="31" width="11.6640625" style="233" customWidth="1"/>
    <col min="32" max="32" width="2.6640625" style="233" customWidth="1"/>
    <col min="33" max="33" width="14.109375" style="233" customWidth="1"/>
    <col min="34" max="34" width="13.88671875" style="233" bestFit="1" customWidth="1"/>
    <col min="35" max="35" width="9.33203125" style="233" bestFit="1" customWidth="1"/>
    <col min="36" max="16384" width="9.109375" style="233"/>
  </cols>
  <sheetData>
    <row r="1" spans="1:36" ht="21" x14ac:dyDescent="0.25">
      <c r="A1" s="54" t="s">
        <v>188</v>
      </c>
      <c r="B1" s="51"/>
      <c r="C1" s="51"/>
      <c r="D1" s="51"/>
      <c r="E1" s="51"/>
      <c r="F1" s="411"/>
      <c r="G1" s="51"/>
      <c r="H1" s="52"/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W1" s="52"/>
    </row>
    <row r="2" spans="1:36" x14ac:dyDescent="0.25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</row>
    <row r="3" spans="1:36" s="263" customFormat="1" ht="21" x14ac:dyDescent="0.4">
      <c r="A3" s="397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34"/>
      <c r="R3" s="534"/>
      <c r="S3" s="535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6" ht="15" customHeight="1" x14ac:dyDescent="0.25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6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6" x14ac:dyDescent="0.25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38" t="s">
        <v>199</v>
      </c>
      <c r="K5" s="439" t="str">
        <f>Summary!I30</f>
        <v>October</v>
      </c>
      <c r="L5" s="440" t="s">
        <v>200</v>
      </c>
      <c r="M5" s="288"/>
      <c r="N5" s="341"/>
      <c r="O5" s="537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6" x14ac:dyDescent="0.25">
      <c r="O6" s="203"/>
      <c r="P6" s="78"/>
      <c r="S6" s="79"/>
      <c r="T6" s="79"/>
      <c r="U6" s="79"/>
      <c r="V6" s="79"/>
      <c r="W6" s="78"/>
      <c r="X6" s="79"/>
      <c r="Y6" s="79"/>
      <c r="Z6" s="79"/>
      <c r="AA6" s="79"/>
      <c r="AB6" s="78"/>
      <c r="AC6" s="79"/>
      <c r="AD6" s="79"/>
      <c r="AE6" s="79"/>
    </row>
    <row r="7" spans="1:36" x14ac:dyDescent="0.25">
      <c r="A7" s="2" t="s">
        <v>4</v>
      </c>
      <c r="B7" s="2"/>
      <c r="C7" s="2"/>
      <c r="D7" s="2"/>
      <c r="E7" s="203"/>
      <c r="F7" s="414"/>
      <c r="G7" s="2"/>
      <c r="H7" s="203"/>
      <c r="K7" s="203"/>
      <c r="O7" s="203"/>
      <c r="P7" s="78"/>
      <c r="S7" s="79"/>
      <c r="T7" s="79"/>
      <c r="U7" s="79"/>
      <c r="V7" s="79"/>
      <c r="W7" s="78"/>
      <c r="X7" s="79"/>
      <c r="Y7" s="79"/>
      <c r="Z7" s="79"/>
      <c r="AA7" s="79"/>
      <c r="AB7" s="78"/>
      <c r="AC7" s="79"/>
      <c r="AD7" s="79"/>
      <c r="AE7" s="79"/>
    </row>
    <row r="8" spans="1:36" ht="15.6" x14ac:dyDescent="0.25">
      <c r="A8" s="1" t="s">
        <v>98</v>
      </c>
      <c r="B8" s="202"/>
      <c r="C8" s="202"/>
      <c r="D8" s="57">
        <f t="shared" ref="D8:D13" si="0">E8-I8</f>
        <v>9899.0800000000017</v>
      </c>
      <c r="E8" s="390">
        <v>100973</v>
      </c>
      <c r="F8" s="327"/>
      <c r="G8" s="1"/>
      <c r="H8" s="57">
        <f t="shared" ref="H8:H13" si="1">I8-P8</f>
        <v>7873.9199999999983</v>
      </c>
      <c r="I8" s="311">
        <v>91073.919999999998</v>
      </c>
      <c r="J8" s="83">
        <f>I8/12*Summary!$H$30</f>
        <v>75894.933333333334</v>
      </c>
      <c r="K8" s="260">
        <v>48740</v>
      </c>
      <c r="L8" s="83">
        <f t="shared" ref="L8:L13" si="2">J8-K8</f>
        <v>27154.933333333334</v>
      </c>
      <c r="O8" s="57">
        <f t="shared" ref="O8:O13" si="3">P8-W8</f>
        <v>9730</v>
      </c>
      <c r="P8" s="78">
        <v>83200</v>
      </c>
      <c r="Q8" s="83">
        <f>P8</f>
        <v>83200</v>
      </c>
      <c r="R8" s="201">
        <f>82802+2499</f>
        <v>85301</v>
      </c>
      <c r="S8" s="83">
        <f t="shared" ref="S8:S13" si="4">Q8-R8</f>
        <v>-2101</v>
      </c>
      <c r="T8" s="79"/>
      <c r="U8" s="79"/>
      <c r="V8" s="59">
        <f t="shared" ref="V8:V13" si="5">W8-AB8</f>
        <v>11670</v>
      </c>
      <c r="W8" s="78">
        <v>73470</v>
      </c>
      <c r="X8" s="83">
        <f>W8/12*10</f>
        <v>61225</v>
      </c>
      <c r="Y8" s="79">
        <v>61444.07</v>
      </c>
      <c r="Z8" s="83">
        <f t="shared" ref="Z8:Z13" si="6">X8-Y8</f>
        <v>-219.06999999999971</v>
      </c>
      <c r="AA8" s="79"/>
      <c r="AB8" s="204">
        <v>61800</v>
      </c>
      <c r="AC8" s="58">
        <f t="shared" ref="AC8:AC13" si="7">AB8/12*10</f>
        <v>51500</v>
      </c>
      <c r="AD8" s="61">
        <v>57403</v>
      </c>
      <c r="AE8" s="61">
        <f t="shared" ref="AE8:AE13" si="8">AC8-AD8</f>
        <v>-5903</v>
      </c>
      <c r="AG8" s="17"/>
    </row>
    <row r="9" spans="1:36" ht="15.6" x14ac:dyDescent="0.25">
      <c r="A9" s="205" t="s">
        <v>77</v>
      </c>
      <c r="B9" s="202"/>
      <c r="C9" s="202"/>
      <c r="D9" s="57">
        <f t="shared" si="0"/>
        <v>0</v>
      </c>
      <c r="E9" s="390">
        <v>600</v>
      </c>
      <c r="F9" s="327"/>
      <c r="G9" s="205"/>
      <c r="H9" s="57">
        <f t="shared" si="1"/>
        <v>-400</v>
      </c>
      <c r="I9" s="311">
        <v>600</v>
      </c>
      <c r="J9" s="83">
        <f>I9/12*Summary!$H$30</f>
        <v>500</v>
      </c>
      <c r="K9" s="260">
        <v>306</v>
      </c>
      <c r="L9" s="83">
        <f t="shared" si="2"/>
        <v>194</v>
      </c>
      <c r="O9" s="57">
        <f t="shared" si="3"/>
        <v>-1000</v>
      </c>
      <c r="P9" s="78">
        <v>1000</v>
      </c>
      <c r="Q9" s="83">
        <f t="shared" ref="Q9:Q13" si="9">P9</f>
        <v>1000</v>
      </c>
      <c r="R9" s="201">
        <v>475</v>
      </c>
      <c r="S9" s="83">
        <f t="shared" si="4"/>
        <v>525</v>
      </c>
      <c r="T9" s="79"/>
      <c r="U9" s="79"/>
      <c r="V9" s="59">
        <f t="shared" si="5"/>
        <v>600</v>
      </c>
      <c r="W9" s="78">
        <v>2000</v>
      </c>
      <c r="X9" s="83">
        <f t="shared" ref="X9:X13" si="10">W9/12*10</f>
        <v>1666.6666666666665</v>
      </c>
      <c r="Y9" s="79">
        <v>-7.2</v>
      </c>
      <c r="Z9" s="83">
        <f t="shared" si="6"/>
        <v>1673.8666666666666</v>
      </c>
      <c r="AA9" s="79"/>
      <c r="AB9" s="78">
        <v>1400</v>
      </c>
      <c r="AC9" s="58">
        <f t="shared" si="7"/>
        <v>1166.6666666666667</v>
      </c>
      <c r="AD9" s="61">
        <v>1068</v>
      </c>
      <c r="AE9" s="61">
        <f t="shared" si="8"/>
        <v>98.666666666666742</v>
      </c>
    </row>
    <row r="10" spans="1:36" ht="15.6" x14ac:dyDescent="0.25">
      <c r="A10" s="205" t="s">
        <v>76</v>
      </c>
      <c r="B10" s="202"/>
      <c r="C10" s="202"/>
      <c r="D10" s="57">
        <f t="shared" si="0"/>
        <v>0</v>
      </c>
      <c r="E10" s="390">
        <v>0</v>
      </c>
      <c r="F10" s="327"/>
      <c r="G10" s="205"/>
      <c r="H10" s="57">
        <f t="shared" si="1"/>
        <v>-500</v>
      </c>
      <c r="I10" s="311">
        <v>0</v>
      </c>
      <c r="J10" s="83">
        <f>I10/12*Summary!$H$30</f>
        <v>0</v>
      </c>
      <c r="K10" s="260">
        <v>0</v>
      </c>
      <c r="L10" s="83">
        <f t="shared" si="2"/>
        <v>0</v>
      </c>
      <c r="O10" s="57">
        <f t="shared" si="3"/>
        <v>0</v>
      </c>
      <c r="P10" s="78">
        <v>500</v>
      </c>
      <c r="Q10" s="83">
        <f t="shared" si="9"/>
        <v>500</v>
      </c>
      <c r="R10" s="201">
        <v>0</v>
      </c>
      <c r="S10" s="83">
        <f t="shared" si="4"/>
        <v>500</v>
      </c>
      <c r="T10" s="79"/>
      <c r="U10" s="79"/>
      <c r="V10" s="59">
        <f t="shared" si="5"/>
        <v>0</v>
      </c>
      <c r="W10" s="78">
        <v>500</v>
      </c>
      <c r="X10" s="83">
        <f t="shared" si="10"/>
        <v>416.66666666666663</v>
      </c>
      <c r="Y10" s="79">
        <v>60</v>
      </c>
      <c r="Z10" s="83">
        <f t="shared" si="6"/>
        <v>356.66666666666663</v>
      </c>
      <c r="AA10" s="79"/>
      <c r="AB10" s="78">
        <v>500</v>
      </c>
      <c r="AC10" s="58">
        <f t="shared" si="7"/>
        <v>416.66666666666663</v>
      </c>
      <c r="AD10" s="61">
        <v>745</v>
      </c>
      <c r="AE10" s="61">
        <f t="shared" si="8"/>
        <v>-328.33333333333337</v>
      </c>
      <c r="AJ10" s="233" t="s">
        <v>228</v>
      </c>
    </row>
    <row r="11" spans="1:36" ht="15.6" x14ac:dyDescent="0.25">
      <c r="A11" s="205" t="s">
        <v>40</v>
      </c>
      <c r="B11" s="202"/>
      <c r="C11" s="202"/>
      <c r="D11" s="57">
        <f t="shared" si="0"/>
        <v>0</v>
      </c>
      <c r="E11" s="390">
        <v>300</v>
      </c>
      <c r="F11" s="327"/>
      <c r="G11" s="205"/>
      <c r="H11" s="57">
        <f t="shared" si="1"/>
        <v>-300</v>
      </c>
      <c r="I11" s="311">
        <v>300</v>
      </c>
      <c r="J11" s="83">
        <f>I11/12*Summary!$H$30</f>
        <v>250</v>
      </c>
      <c r="K11" s="260">
        <v>0</v>
      </c>
      <c r="L11" s="83">
        <f t="shared" si="2"/>
        <v>250</v>
      </c>
      <c r="O11" s="57">
        <f t="shared" si="3"/>
        <v>0</v>
      </c>
      <c r="P11" s="78">
        <v>600</v>
      </c>
      <c r="Q11" s="83">
        <f t="shared" si="9"/>
        <v>600</v>
      </c>
      <c r="R11" s="201">
        <v>177</v>
      </c>
      <c r="S11" s="83">
        <f t="shared" si="4"/>
        <v>423</v>
      </c>
      <c r="T11" s="79"/>
      <c r="U11" s="79"/>
      <c r="V11" s="59">
        <f t="shared" si="5"/>
        <v>0</v>
      </c>
      <c r="W11" s="78">
        <v>600</v>
      </c>
      <c r="X11" s="83">
        <f t="shared" si="10"/>
        <v>500</v>
      </c>
      <c r="Y11" s="79">
        <v>479.28</v>
      </c>
      <c r="Z11" s="83">
        <f t="shared" si="6"/>
        <v>20.720000000000027</v>
      </c>
      <c r="AA11" s="79"/>
      <c r="AB11" s="78">
        <v>600</v>
      </c>
      <c r="AC11" s="58">
        <f t="shared" si="7"/>
        <v>500</v>
      </c>
      <c r="AD11" s="61">
        <v>350</v>
      </c>
      <c r="AE11" s="61">
        <f t="shared" si="8"/>
        <v>150</v>
      </c>
    </row>
    <row r="12" spans="1:36" ht="0.6" customHeight="1" x14ac:dyDescent="0.25">
      <c r="A12" s="1" t="s">
        <v>70</v>
      </c>
      <c r="B12" s="202"/>
      <c r="C12" s="202"/>
      <c r="D12" s="57">
        <f t="shared" si="0"/>
        <v>0</v>
      </c>
      <c r="E12" s="390">
        <v>0</v>
      </c>
      <c r="F12" s="327"/>
      <c r="G12" s="1"/>
      <c r="H12" s="57">
        <f t="shared" si="1"/>
        <v>0</v>
      </c>
      <c r="I12" s="311">
        <v>0</v>
      </c>
      <c r="J12" s="83">
        <f>I12/12*Summary!$H$30</f>
        <v>0</v>
      </c>
      <c r="K12" s="260">
        <v>0</v>
      </c>
      <c r="L12" s="83">
        <f t="shared" si="2"/>
        <v>0</v>
      </c>
      <c r="O12" s="57">
        <f t="shared" si="3"/>
        <v>-280</v>
      </c>
      <c r="P12" s="78">
        <v>0</v>
      </c>
      <c r="Q12" s="83">
        <f t="shared" si="9"/>
        <v>0</v>
      </c>
      <c r="R12" s="201">
        <v>0</v>
      </c>
      <c r="S12" s="83">
        <f t="shared" si="4"/>
        <v>0</v>
      </c>
      <c r="T12" s="79"/>
      <c r="U12" s="79"/>
      <c r="V12" s="59">
        <f t="shared" si="5"/>
        <v>0</v>
      </c>
      <c r="W12" s="78">
        <v>280</v>
      </c>
      <c r="X12" s="83">
        <f t="shared" si="10"/>
        <v>233.33333333333331</v>
      </c>
      <c r="Y12" s="79">
        <v>46.4</v>
      </c>
      <c r="Z12" s="83">
        <f t="shared" si="6"/>
        <v>186.93333333333331</v>
      </c>
      <c r="AA12" s="79"/>
      <c r="AB12" s="78">
        <v>280</v>
      </c>
      <c r="AC12" s="58">
        <f t="shared" si="7"/>
        <v>233.33333333333331</v>
      </c>
      <c r="AD12" s="61">
        <v>232</v>
      </c>
      <c r="AE12" s="61">
        <f t="shared" si="8"/>
        <v>1.3333333333333144</v>
      </c>
    </row>
    <row r="13" spans="1:36" ht="15.6" x14ac:dyDescent="0.25">
      <c r="A13" s="205" t="s">
        <v>89</v>
      </c>
      <c r="B13" s="202"/>
      <c r="C13" s="202"/>
      <c r="D13" s="57">
        <f t="shared" si="0"/>
        <v>0</v>
      </c>
      <c r="E13" s="390">
        <v>30</v>
      </c>
      <c r="F13" s="327"/>
      <c r="G13" s="205"/>
      <c r="H13" s="57">
        <f t="shared" si="1"/>
        <v>-70</v>
      </c>
      <c r="I13" s="311">
        <v>30</v>
      </c>
      <c r="J13" s="83">
        <f>I13/12*Summary!$H$30</f>
        <v>25</v>
      </c>
      <c r="K13" s="260">
        <v>0</v>
      </c>
      <c r="L13" s="83">
        <f t="shared" si="2"/>
        <v>25</v>
      </c>
      <c r="O13" s="57">
        <f t="shared" si="3"/>
        <v>0</v>
      </c>
      <c r="P13" s="78">
        <v>100</v>
      </c>
      <c r="Q13" s="83">
        <f t="shared" si="9"/>
        <v>100</v>
      </c>
      <c r="R13" s="201">
        <v>0</v>
      </c>
      <c r="S13" s="83">
        <f t="shared" si="4"/>
        <v>100</v>
      </c>
      <c r="T13" s="79"/>
      <c r="U13" s="79"/>
      <c r="V13" s="59">
        <f t="shared" si="5"/>
        <v>100</v>
      </c>
      <c r="W13" s="78">
        <v>100</v>
      </c>
      <c r="X13" s="83">
        <f t="shared" si="10"/>
        <v>83.333333333333343</v>
      </c>
      <c r="Y13" s="79">
        <v>0</v>
      </c>
      <c r="Z13" s="83">
        <f t="shared" si="6"/>
        <v>83.333333333333343</v>
      </c>
      <c r="AA13" s="79"/>
      <c r="AB13" s="78">
        <v>0</v>
      </c>
      <c r="AC13" s="58">
        <f t="shared" si="7"/>
        <v>0</v>
      </c>
      <c r="AD13" s="61">
        <v>52</v>
      </c>
      <c r="AE13" s="61">
        <f t="shared" si="8"/>
        <v>-52</v>
      </c>
    </row>
    <row r="14" spans="1:36" x14ac:dyDescent="0.25">
      <c r="B14" s="202"/>
      <c r="C14" s="202"/>
      <c r="D14" s="77"/>
      <c r="E14" s="78"/>
      <c r="F14" s="327"/>
      <c r="H14" s="77"/>
      <c r="J14" s="79"/>
      <c r="K14" s="79"/>
      <c r="L14" s="79"/>
      <c r="O14" s="77"/>
      <c r="P14" s="78"/>
      <c r="Q14" s="79"/>
      <c r="R14" s="201"/>
      <c r="S14" s="79"/>
      <c r="T14" s="79"/>
      <c r="U14" s="79"/>
      <c r="V14" s="77"/>
      <c r="W14" s="78"/>
      <c r="X14" s="79"/>
      <c r="Y14" s="79"/>
      <c r="Z14" s="79"/>
      <c r="AA14" s="79"/>
      <c r="AB14" s="78"/>
      <c r="AC14" s="79"/>
      <c r="AD14" s="79"/>
      <c r="AE14" s="79"/>
    </row>
    <row r="15" spans="1:36" ht="15" thickBot="1" x14ac:dyDescent="0.3">
      <c r="A15" s="174" t="s">
        <v>145</v>
      </c>
      <c r="B15" s="202"/>
      <c r="C15" s="202"/>
      <c r="D15" s="206">
        <f t="shared" ref="D15:E15" si="11">SUM(D7:D14)</f>
        <v>9899.0800000000017</v>
      </c>
      <c r="E15" s="98">
        <f t="shared" si="11"/>
        <v>101903</v>
      </c>
      <c r="F15" s="323"/>
      <c r="G15" s="208"/>
      <c r="H15" s="206">
        <f t="shared" ref="H15" si="12">SUM(H7:H14)</f>
        <v>6603.9199999999983</v>
      </c>
      <c r="I15" s="330">
        <f t="shared" ref="I15:L15" si="13">SUM(I7:I14)</f>
        <v>92003.92</v>
      </c>
      <c r="J15" s="207">
        <f t="shared" si="13"/>
        <v>76669.933333333334</v>
      </c>
      <c r="K15" s="207">
        <f t="shared" si="13"/>
        <v>49046</v>
      </c>
      <c r="L15" s="207">
        <f t="shared" si="13"/>
        <v>27623.933333333334</v>
      </c>
      <c r="M15" s="128"/>
      <c r="N15" s="128"/>
      <c r="O15" s="206">
        <f>SUM(O7:O14)</f>
        <v>8450</v>
      </c>
      <c r="P15" s="98">
        <f>SUM(P7:P14)</f>
        <v>85400</v>
      </c>
      <c r="Q15" s="207">
        <f t="shared" ref="Q15" si="14">SUM(Q7:Q14)</f>
        <v>85400</v>
      </c>
      <c r="R15" s="391">
        <f t="shared" ref="R15:S15" si="15">SUM(R7:R14)</f>
        <v>85953</v>
      </c>
      <c r="S15" s="207">
        <f t="shared" si="15"/>
        <v>-553</v>
      </c>
      <c r="T15" s="79"/>
      <c r="U15" s="79"/>
      <c r="V15" s="206">
        <f t="shared" ref="V15:Z15" si="16">SUM(V7:V14)</f>
        <v>12370</v>
      </c>
      <c r="W15" s="98">
        <f t="shared" si="16"/>
        <v>76950</v>
      </c>
      <c r="X15" s="207">
        <f t="shared" si="16"/>
        <v>64125</v>
      </c>
      <c r="Y15" s="207">
        <f t="shared" si="16"/>
        <v>62022.55</v>
      </c>
      <c r="Z15" s="207">
        <f t="shared" si="16"/>
        <v>2102.4500000000003</v>
      </c>
      <c r="AA15" s="79"/>
      <c r="AB15" s="98">
        <f>SUM(AB7:AB14)</f>
        <v>64580</v>
      </c>
      <c r="AC15" s="207">
        <f t="shared" ref="AC15:AE15" si="17">SUM(AC7:AC14)</f>
        <v>53816.666666666664</v>
      </c>
      <c r="AD15" s="207">
        <f t="shared" si="17"/>
        <v>59850</v>
      </c>
      <c r="AE15" s="207">
        <f t="shared" si="17"/>
        <v>-6033.333333333333</v>
      </c>
    </row>
    <row r="16" spans="1:36" x14ac:dyDescent="0.25">
      <c r="A16" s="208"/>
      <c r="B16" s="202"/>
      <c r="C16" s="202"/>
      <c r="D16" s="77"/>
      <c r="E16" s="78"/>
      <c r="F16" s="327"/>
      <c r="G16" s="208"/>
      <c r="H16" s="209"/>
      <c r="J16" s="79"/>
      <c r="K16" s="79"/>
      <c r="L16" s="79"/>
      <c r="O16" s="209"/>
      <c r="P16" s="128"/>
      <c r="Q16" s="185"/>
      <c r="R16" s="201"/>
      <c r="S16" s="185"/>
      <c r="T16" s="79"/>
      <c r="U16" s="79"/>
      <c r="V16" s="209"/>
      <c r="W16" s="128"/>
      <c r="X16" s="185"/>
      <c r="Y16" s="185"/>
      <c r="Z16" s="185"/>
      <c r="AA16" s="79"/>
      <c r="AB16" s="128"/>
      <c r="AC16" s="185"/>
      <c r="AD16" s="185"/>
      <c r="AE16" s="185"/>
    </row>
    <row r="17" spans="1:40" x14ac:dyDescent="0.25">
      <c r="A17" s="4" t="s">
        <v>36</v>
      </c>
      <c r="B17" s="202"/>
      <c r="C17" s="202"/>
      <c r="D17" s="77"/>
      <c r="E17" s="78"/>
      <c r="F17" s="327"/>
      <c r="G17" s="4"/>
      <c r="H17" s="209"/>
      <c r="J17" s="79"/>
      <c r="K17" s="79"/>
      <c r="L17" s="79"/>
      <c r="O17" s="209"/>
      <c r="P17" s="128"/>
      <c r="Q17" s="185"/>
      <c r="R17" s="201"/>
      <c r="S17" s="185"/>
      <c r="T17" s="79"/>
      <c r="U17" s="79"/>
      <c r="V17" s="209"/>
      <c r="W17" s="128"/>
      <c r="X17" s="185"/>
      <c r="Y17" s="185"/>
      <c r="Z17" s="185"/>
      <c r="AA17" s="79"/>
      <c r="AB17" s="128"/>
      <c r="AC17" s="185"/>
      <c r="AD17" s="185"/>
      <c r="AE17" s="185"/>
    </row>
    <row r="18" spans="1:40" ht="15.6" x14ac:dyDescent="0.25">
      <c r="A18" s="5" t="s">
        <v>11</v>
      </c>
      <c r="B18" s="202" t="s">
        <v>228</v>
      </c>
      <c r="C18" s="202"/>
      <c r="D18" s="57">
        <f t="shared" ref="D18:D26" si="18">E18-I18</f>
        <v>0</v>
      </c>
      <c r="E18" s="346">
        <v>1000</v>
      </c>
      <c r="F18" s="393"/>
      <c r="G18" s="5"/>
      <c r="H18" s="57">
        <f t="shared" ref="H18:H26" si="19">I18-P18</f>
        <v>0</v>
      </c>
      <c r="I18" s="311">
        <v>1000</v>
      </c>
      <c r="J18" s="83">
        <f>I18/12*Summary!$H$30</f>
        <v>833.33333333333326</v>
      </c>
      <c r="K18" s="260">
        <v>588</v>
      </c>
      <c r="L18" s="83">
        <f t="shared" ref="L18:L26" si="20">J18-K18</f>
        <v>245.33333333333326</v>
      </c>
      <c r="O18" s="57">
        <f t="shared" ref="O18:O25" si="21">P18-W18</f>
        <v>-1000</v>
      </c>
      <c r="P18" s="78">
        <v>1000</v>
      </c>
      <c r="Q18" s="83">
        <f t="shared" ref="Q18:Q26" si="22">P18</f>
        <v>1000</v>
      </c>
      <c r="R18" s="201">
        <v>2161</v>
      </c>
      <c r="S18" s="83">
        <f t="shared" ref="S18:S25" si="23">Q18-R18</f>
        <v>-1161</v>
      </c>
      <c r="T18" s="79"/>
      <c r="U18" s="79"/>
      <c r="V18" s="59">
        <f t="shared" ref="V18:V26" si="24">W18-AB18</f>
        <v>-900</v>
      </c>
      <c r="W18" s="78">
        <v>2000</v>
      </c>
      <c r="X18" s="83">
        <f t="shared" ref="X18:X24" si="25">W18/12*10</f>
        <v>1666.6666666666665</v>
      </c>
      <c r="Y18" s="79">
        <v>411.48</v>
      </c>
      <c r="Z18" s="83">
        <f t="shared" ref="Z18:Z26" si="26">X18-Y18</f>
        <v>1255.1866666666665</v>
      </c>
      <c r="AA18" s="79"/>
      <c r="AB18" s="78">
        <v>2900</v>
      </c>
      <c r="AC18" s="58">
        <f t="shared" ref="AC18:AC24" si="27">AB18/12*10</f>
        <v>2416.6666666666665</v>
      </c>
      <c r="AD18" s="61">
        <v>1186</v>
      </c>
      <c r="AE18" s="61">
        <f t="shared" ref="AE18:AE26" si="28">AC18-AD18</f>
        <v>1230.6666666666665</v>
      </c>
    </row>
    <row r="19" spans="1:40" ht="15.6" x14ac:dyDescent="0.25">
      <c r="A19" s="5" t="s">
        <v>74</v>
      </c>
      <c r="B19" s="202" t="s">
        <v>228</v>
      </c>
      <c r="C19" s="202"/>
      <c r="D19" s="57">
        <f t="shared" si="18"/>
        <v>-400</v>
      </c>
      <c r="E19" s="346">
        <v>1100</v>
      </c>
      <c r="F19" s="393"/>
      <c r="G19" s="5"/>
      <c r="H19" s="57">
        <f t="shared" si="19"/>
        <v>0</v>
      </c>
      <c r="I19" s="311">
        <v>1500</v>
      </c>
      <c r="J19" s="83">
        <f>I19/12*Summary!$H$30</f>
        <v>1250</v>
      </c>
      <c r="K19" s="260">
        <v>720</v>
      </c>
      <c r="L19" s="83">
        <f t="shared" si="20"/>
        <v>530</v>
      </c>
      <c r="O19" s="57">
        <f t="shared" si="21"/>
        <v>-500</v>
      </c>
      <c r="P19" s="78">
        <v>1500</v>
      </c>
      <c r="Q19" s="83">
        <f t="shared" si="22"/>
        <v>1500</v>
      </c>
      <c r="R19" s="201">
        <v>2252</v>
      </c>
      <c r="S19" s="83">
        <f t="shared" si="23"/>
        <v>-752</v>
      </c>
      <c r="T19" s="79"/>
      <c r="U19" s="79"/>
      <c r="V19" s="59">
        <f t="shared" si="24"/>
        <v>0</v>
      </c>
      <c r="W19" s="78">
        <v>2000</v>
      </c>
      <c r="X19" s="83">
        <f t="shared" si="25"/>
        <v>1666.6666666666665</v>
      </c>
      <c r="Y19" s="79">
        <v>1038.7</v>
      </c>
      <c r="Z19" s="83">
        <f t="shared" si="26"/>
        <v>627.96666666666647</v>
      </c>
      <c r="AA19" s="79"/>
      <c r="AB19" s="78">
        <v>2000</v>
      </c>
      <c r="AC19" s="58">
        <f t="shared" si="27"/>
        <v>1666.6666666666665</v>
      </c>
      <c r="AD19" s="61">
        <v>857</v>
      </c>
      <c r="AE19" s="61">
        <f t="shared" si="28"/>
        <v>809.66666666666652</v>
      </c>
    </row>
    <row r="20" spans="1:40" ht="15.6" x14ac:dyDescent="0.25">
      <c r="A20" s="5" t="s">
        <v>116</v>
      </c>
      <c r="B20" s="202" t="s">
        <v>228</v>
      </c>
      <c r="C20" s="202"/>
      <c r="D20" s="57">
        <f t="shared" si="18"/>
        <v>7990</v>
      </c>
      <c r="E20" s="346">
        <v>22670</v>
      </c>
      <c r="F20" s="393"/>
      <c r="G20" s="5"/>
      <c r="H20" s="57">
        <f t="shared" si="19"/>
        <v>0</v>
      </c>
      <c r="I20" s="311">
        <v>14680</v>
      </c>
      <c r="J20" s="83">
        <f>I20/12*Summary!$H$30</f>
        <v>12233.333333333332</v>
      </c>
      <c r="K20" s="260">
        <v>13953</v>
      </c>
      <c r="L20" s="83">
        <f t="shared" si="20"/>
        <v>-1719.6666666666679</v>
      </c>
      <c r="O20" s="57">
        <f t="shared" si="21"/>
        <v>880</v>
      </c>
      <c r="P20" s="78">
        <v>14680</v>
      </c>
      <c r="Q20" s="83">
        <f t="shared" si="22"/>
        <v>14680</v>
      </c>
      <c r="R20" s="201">
        <v>16624</v>
      </c>
      <c r="S20" s="83">
        <f t="shared" si="23"/>
        <v>-1944</v>
      </c>
      <c r="T20" s="79"/>
      <c r="U20" s="79"/>
      <c r="V20" s="59">
        <f t="shared" si="24"/>
        <v>1200</v>
      </c>
      <c r="W20" s="78">
        <v>13800</v>
      </c>
      <c r="X20" s="83">
        <f t="shared" si="25"/>
        <v>11500</v>
      </c>
      <c r="Y20" s="79">
        <v>11510.79</v>
      </c>
      <c r="Z20" s="83">
        <f t="shared" si="26"/>
        <v>-10.790000000000873</v>
      </c>
      <c r="AA20" s="79"/>
      <c r="AB20" s="78">
        <v>12600</v>
      </c>
      <c r="AC20" s="58">
        <f t="shared" si="27"/>
        <v>10500</v>
      </c>
      <c r="AD20" s="61">
        <v>11740</v>
      </c>
      <c r="AE20" s="61">
        <f t="shared" si="28"/>
        <v>-1240</v>
      </c>
    </row>
    <row r="21" spans="1:40" ht="15.6" x14ac:dyDescent="0.25">
      <c r="A21" s="5" t="s">
        <v>10</v>
      </c>
      <c r="B21" s="202"/>
      <c r="C21" s="202"/>
      <c r="D21" s="57">
        <f t="shared" si="18"/>
        <v>-300</v>
      </c>
      <c r="E21" s="390">
        <v>0</v>
      </c>
      <c r="F21" s="327"/>
      <c r="G21" s="168"/>
      <c r="H21" s="57">
        <f t="shared" si="19"/>
        <v>0</v>
      </c>
      <c r="I21" s="311">
        <v>300</v>
      </c>
      <c r="J21" s="83">
        <f>I21/12*Summary!$H$30</f>
        <v>250</v>
      </c>
      <c r="K21" s="260">
        <v>0</v>
      </c>
      <c r="L21" s="83">
        <f t="shared" si="20"/>
        <v>250</v>
      </c>
      <c r="O21" s="57">
        <f t="shared" si="21"/>
        <v>0</v>
      </c>
      <c r="P21" s="78">
        <v>300</v>
      </c>
      <c r="Q21" s="83">
        <f t="shared" si="22"/>
        <v>300</v>
      </c>
      <c r="R21" s="201">
        <v>2320</v>
      </c>
      <c r="S21" s="83">
        <f t="shared" si="23"/>
        <v>-2020</v>
      </c>
      <c r="T21" s="79"/>
      <c r="U21" s="79"/>
      <c r="V21" s="59">
        <f t="shared" si="24"/>
        <v>0</v>
      </c>
      <c r="W21" s="78">
        <v>300</v>
      </c>
      <c r="X21" s="83">
        <f t="shared" si="25"/>
        <v>250</v>
      </c>
      <c r="Y21" s="79">
        <v>0</v>
      </c>
      <c r="Z21" s="83">
        <f t="shared" si="26"/>
        <v>250</v>
      </c>
      <c r="AA21" s="79"/>
      <c r="AB21" s="78">
        <v>300</v>
      </c>
      <c r="AC21" s="58">
        <f t="shared" si="27"/>
        <v>250</v>
      </c>
      <c r="AD21" s="61">
        <v>320</v>
      </c>
      <c r="AE21" s="61">
        <f t="shared" si="28"/>
        <v>-70</v>
      </c>
      <c r="AJ21" s="17"/>
    </row>
    <row r="22" spans="1:40" ht="15.6" x14ac:dyDescent="0.25">
      <c r="A22" s="213" t="s">
        <v>3</v>
      </c>
      <c r="B22" s="202"/>
      <c r="C22" s="202"/>
      <c r="D22" s="57">
        <f t="shared" si="18"/>
        <v>24</v>
      </c>
      <c r="E22" s="390">
        <v>324</v>
      </c>
      <c r="F22" s="327"/>
      <c r="G22" s="213"/>
      <c r="H22" s="57">
        <f t="shared" si="19"/>
        <v>-200</v>
      </c>
      <c r="I22" s="311">
        <v>300</v>
      </c>
      <c r="J22" s="83">
        <f>I22/12*Summary!$H$30</f>
        <v>250</v>
      </c>
      <c r="K22" s="260">
        <v>298</v>
      </c>
      <c r="L22" s="83">
        <f t="shared" si="20"/>
        <v>-48</v>
      </c>
      <c r="O22" s="57">
        <f t="shared" si="21"/>
        <v>0</v>
      </c>
      <c r="P22" s="78">
        <v>500</v>
      </c>
      <c r="Q22" s="83">
        <f t="shared" si="22"/>
        <v>500</v>
      </c>
      <c r="R22" s="201">
        <v>298</v>
      </c>
      <c r="S22" s="83">
        <f t="shared" si="23"/>
        <v>202</v>
      </c>
      <c r="T22" s="79"/>
      <c r="U22" s="79"/>
      <c r="V22" s="59">
        <f t="shared" si="24"/>
        <v>50</v>
      </c>
      <c r="W22" s="78">
        <v>500</v>
      </c>
      <c r="X22" s="83">
        <f t="shared" si="25"/>
        <v>416.66666666666663</v>
      </c>
      <c r="Y22" s="79">
        <v>298.36</v>
      </c>
      <c r="Z22" s="83">
        <f t="shared" si="26"/>
        <v>118.30666666666662</v>
      </c>
      <c r="AA22" s="79"/>
      <c r="AB22" s="78">
        <v>450</v>
      </c>
      <c r="AC22" s="58">
        <f t="shared" si="27"/>
        <v>375</v>
      </c>
      <c r="AD22" s="61">
        <v>2978</v>
      </c>
      <c r="AE22" s="61">
        <f t="shared" si="28"/>
        <v>-2603</v>
      </c>
    </row>
    <row r="23" spans="1:40" ht="15.6" x14ac:dyDescent="0.25">
      <c r="A23" s="213" t="s">
        <v>39</v>
      </c>
      <c r="B23" s="202" t="s">
        <v>228</v>
      </c>
      <c r="C23" s="202"/>
      <c r="D23" s="57">
        <f t="shared" si="18"/>
        <v>-100</v>
      </c>
      <c r="E23" s="346">
        <v>100</v>
      </c>
      <c r="F23" s="393"/>
      <c r="G23" s="213"/>
      <c r="H23" s="57">
        <f t="shared" si="19"/>
        <v>-100</v>
      </c>
      <c r="I23" s="311">
        <v>200</v>
      </c>
      <c r="J23" s="83">
        <f>I23/12*Summary!$H$30</f>
        <v>166.66666666666669</v>
      </c>
      <c r="K23" s="260">
        <v>0</v>
      </c>
      <c r="L23" s="83">
        <f t="shared" si="20"/>
        <v>166.66666666666669</v>
      </c>
      <c r="O23" s="57">
        <f t="shared" si="21"/>
        <v>-1545</v>
      </c>
      <c r="P23" s="78">
        <v>300</v>
      </c>
      <c r="Q23" s="83">
        <f t="shared" si="22"/>
        <v>300</v>
      </c>
      <c r="R23" s="201">
        <v>142</v>
      </c>
      <c r="S23" s="83">
        <f t="shared" si="23"/>
        <v>158</v>
      </c>
      <c r="T23" s="79"/>
      <c r="U23" s="79"/>
      <c r="V23" s="59">
        <f t="shared" si="24"/>
        <v>1545</v>
      </c>
      <c r="W23" s="78">
        <v>1845</v>
      </c>
      <c r="X23" s="83">
        <f t="shared" si="25"/>
        <v>1537.5</v>
      </c>
      <c r="Y23" s="79">
        <v>216.83</v>
      </c>
      <c r="Z23" s="83">
        <f t="shared" si="26"/>
        <v>1320.67</v>
      </c>
      <c r="AA23" s="79"/>
      <c r="AB23" s="78">
        <v>300</v>
      </c>
      <c r="AC23" s="58">
        <f t="shared" si="27"/>
        <v>250</v>
      </c>
      <c r="AD23" s="61">
        <v>248</v>
      </c>
      <c r="AE23" s="61">
        <f t="shared" si="28"/>
        <v>2</v>
      </c>
    </row>
    <row r="24" spans="1:40" ht="15.6" x14ac:dyDescent="0.25">
      <c r="A24" s="213" t="s">
        <v>102</v>
      </c>
      <c r="B24" s="202" t="s">
        <v>228</v>
      </c>
      <c r="C24" s="202"/>
      <c r="D24" s="57">
        <f t="shared" si="18"/>
        <v>0</v>
      </c>
      <c r="E24" s="346">
        <v>358</v>
      </c>
      <c r="F24" s="393"/>
      <c r="G24" s="213"/>
      <c r="H24" s="57">
        <f t="shared" si="19"/>
        <v>-0.39999999999997726</v>
      </c>
      <c r="I24" s="303">
        <v>358</v>
      </c>
      <c r="J24" s="83">
        <f>I24/12*Summary!$H$30</f>
        <v>298.33333333333331</v>
      </c>
      <c r="K24" s="260">
        <v>114</v>
      </c>
      <c r="L24" s="83">
        <f t="shared" si="20"/>
        <v>184.33333333333331</v>
      </c>
      <c r="M24" s="243"/>
      <c r="N24" s="243"/>
      <c r="O24" s="57">
        <f t="shared" si="21"/>
        <v>8.3999999999999773</v>
      </c>
      <c r="P24" s="82">
        <f>W24+(W24*$P$80)</f>
        <v>358.4</v>
      </c>
      <c r="Q24" s="83">
        <f t="shared" si="22"/>
        <v>358.4</v>
      </c>
      <c r="R24" s="201">
        <v>0</v>
      </c>
      <c r="S24" s="83">
        <f t="shared" si="23"/>
        <v>358.4</v>
      </c>
      <c r="T24" s="79"/>
      <c r="U24" s="79"/>
      <c r="V24" s="59">
        <f t="shared" si="24"/>
        <v>350</v>
      </c>
      <c r="W24" s="78">
        <v>350</v>
      </c>
      <c r="X24" s="83">
        <f t="shared" si="25"/>
        <v>291.66666666666669</v>
      </c>
      <c r="Y24" s="79">
        <v>0</v>
      </c>
      <c r="Z24" s="83">
        <f t="shared" si="26"/>
        <v>291.66666666666669</v>
      </c>
      <c r="AA24" s="79"/>
      <c r="AB24" s="78">
        <v>0</v>
      </c>
      <c r="AC24" s="58">
        <f t="shared" si="27"/>
        <v>0</v>
      </c>
      <c r="AD24" s="61">
        <v>114</v>
      </c>
      <c r="AE24" s="61">
        <f t="shared" si="28"/>
        <v>-114</v>
      </c>
    </row>
    <row r="25" spans="1:40" ht="15.6" x14ac:dyDescent="0.25">
      <c r="A25" s="148" t="s">
        <v>193</v>
      </c>
      <c r="B25" s="202" t="s">
        <v>228</v>
      </c>
      <c r="C25" s="202"/>
      <c r="D25" s="57">
        <f t="shared" ref="D25" si="29">E25-I25</f>
        <v>0.25</v>
      </c>
      <c r="E25" s="346">
        <f>I25+(I25*$E$80)</f>
        <v>50.25</v>
      </c>
      <c r="F25" s="393"/>
      <c r="G25" s="148"/>
      <c r="H25" s="57">
        <f t="shared" ref="H25" si="30">I25-P25</f>
        <v>50</v>
      </c>
      <c r="I25" s="303">
        <v>50</v>
      </c>
      <c r="J25" s="83">
        <f>I25/12*Summary!$H$30</f>
        <v>41.666666666666671</v>
      </c>
      <c r="K25" s="260">
        <v>0</v>
      </c>
      <c r="L25" s="83">
        <f t="shared" ref="L25" si="31">J25-K25</f>
        <v>41.666666666666671</v>
      </c>
      <c r="O25" s="57">
        <f t="shared" si="21"/>
        <v>0</v>
      </c>
      <c r="P25" s="78"/>
      <c r="Q25" s="83">
        <f t="shared" si="22"/>
        <v>0</v>
      </c>
      <c r="R25" s="201">
        <v>0</v>
      </c>
      <c r="S25" s="83">
        <f t="shared" si="23"/>
        <v>0</v>
      </c>
      <c r="T25" s="79"/>
      <c r="U25" s="79"/>
      <c r="V25" s="59">
        <f t="shared" ref="V25" si="32">W25-AB25</f>
        <v>0</v>
      </c>
      <c r="W25" s="78"/>
      <c r="X25" s="83">
        <f>W25/12*10</f>
        <v>0</v>
      </c>
      <c r="Y25" s="79"/>
      <c r="Z25" s="83">
        <f t="shared" ref="Z25" si="33">X25-Y25</f>
        <v>0</v>
      </c>
      <c r="AA25" s="79"/>
      <c r="AB25" s="78"/>
      <c r="AC25" s="58">
        <f>AB25/12*10</f>
        <v>0</v>
      </c>
      <c r="AD25" s="61"/>
      <c r="AE25" s="61">
        <f t="shared" ref="AE25" si="34">AC25-AD25</f>
        <v>0</v>
      </c>
      <c r="AG25" s="17"/>
    </row>
    <row r="26" spans="1:40" ht="15.6" x14ac:dyDescent="0.25">
      <c r="A26" s="148" t="s">
        <v>229</v>
      </c>
      <c r="B26" s="202" t="s">
        <v>228</v>
      </c>
      <c r="C26" s="202"/>
      <c r="D26" s="57">
        <f t="shared" si="18"/>
        <v>1510</v>
      </c>
      <c r="E26" s="346">
        <v>1560</v>
      </c>
      <c r="F26" s="393"/>
      <c r="G26" s="148"/>
      <c r="H26" s="57">
        <f t="shared" si="19"/>
        <v>50</v>
      </c>
      <c r="I26" s="303">
        <v>50</v>
      </c>
      <c r="J26" s="83">
        <f>I26/12*Summary!$H$30</f>
        <v>41.666666666666671</v>
      </c>
      <c r="K26" s="260">
        <v>390</v>
      </c>
      <c r="L26" s="83">
        <f t="shared" si="20"/>
        <v>-348.33333333333331</v>
      </c>
      <c r="O26" s="57">
        <f t="shared" ref="O26" si="35">P26-W26</f>
        <v>0</v>
      </c>
      <c r="P26" s="78"/>
      <c r="Q26" s="83">
        <f t="shared" si="22"/>
        <v>0</v>
      </c>
      <c r="R26" s="201">
        <v>0</v>
      </c>
      <c r="S26" s="83">
        <f t="shared" ref="S26" si="36">Q26-R26</f>
        <v>0</v>
      </c>
      <c r="T26" s="79"/>
      <c r="U26" s="79"/>
      <c r="V26" s="59">
        <f t="shared" si="24"/>
        <v>0</v>
      </c>
      <c r="W26" s="78"/>
      <c r="X26" s="83">
        <f>W26/12*10</f>
        <v>0</v>
      </c>
      <c r="Y26" s="79"/>
      <c r="Z26" s="83">
        <f t="shared" si="26"/>
        <v>0</v>
      </c>
      <c r="AA26" s="79"/>
      <c r="AB26" s="78"/>
      <c r="AC26" s="58">
        <f>AB26/12*10</f>
        <v>0</v>
      </c>
      <c r="AD26" s="61"/>
      <c r="AE26" s="61">
        <f t="shared" si="28"/>
        <v>0</v>
      </c>
      <c r="AG26" s="17"/>
    </row>
    <row r="27" spans="1:40" x14ac:dyDescent="0.25">
      <c r="A27" s="213"/>
      <c r="B27" s="202"/>
      <c r="C27" s="202"/>
      <c r="G27" s="213"/>
      <c r="H27" s="209"/>
      <c r="O27" s="209"/>
      <c r="P27" s="78"/>
      <c r="Q27" s="79"/>
      <c r="R27" s="201"/>
      <c r="S27" s="185"/>
      <c r="T27" s="79"/>
      <c r="U27" s="79"/>
      <c r="V27" s="77"/>
      <c r="W27" s="78"/>
      <c r="X27" s="79"/>
      <c r="Y27" s="185"/>
      <c r="Z27" s="185"/>
      <c r="AA27" s="79"/>
      <c r="AB27" s="78"/>
      <c r="AC27" s="185"/>
      <c r="AD27" s="185"/>
      <c r="AE27" s="185"/>
      <c r="AG27" s="17"/>
    </row>
    <row r="28" spans="1:40" ht="15" thickBot="1" x14ac:dyDescent="0.3">
      <c r="A28" s="174" t="s">
        <v>150</v>
      </c>
      <c r="B28" s="202"/>
      <c r="C28" s="202"/>
      <c r="D28" s="206">
        <f>SUM(D17:D27)</f>
        <v>8724.25</v>
      </c>
      <c r="E28" s="98">
        <f>SUM(E17:E27)</f>
        <v>27162.25</v>
      </c>
      <c r="F28" s="323"/>
      <c r="G28" s="208"/>
      <c r="H28" s="206">
        <f>SUM(H17:H27)</f>
        <v>-200.39999999999998</v>
      </c>
      <c r="I28" s="330">
        <f>SUM(I17:I27)</f>
        <v>18438</v>
      </c>
      <c r="J28" s="207">
        <f>SUM(J17:J26)</f>
        <v>15364.999999999996</v>
      </c>
      <c r="K28" s="207">
        <f>SUM(K17:K26)</f>
        <v>16063</v>
      </c>
      <c r="L28" s="207">
        <f>SUM(L17:L26)</f>
        <v>-698.00000000000114</v>
      </c>
      <c r="M28" s="128"/>
      <c r="N28" s="128"/>
      <c r="O28" s="206">
        <f>SUM(O17:O27)</f>
        <v>-2156.6</v>
      </c>
      <c r="P28" s="98">
        <f>SUM(P17:P27)</f>
        <v>18638.400000000001</v>
      </c>
      <c r="Q28" s="207">
        <f>SUM(Q17:Q27)</f>
        <v>18638.400000000001</v>
      </c>
      <c r="R28" s="391">
        <f>SUM(R17:R27)</f>
        <v>23797</v>
      </c>
      <c r="S28" s="207">
        <f>SUM(S17:S27)</f>
        <v>-5158.6000000000004</v>
      </c>
      <c r="T28" s="79"/>
      <c r="U28" s="79"/>
      <c r="V28" s="206">
        <f>SUM(V17:V27)</f>
        <v>2245</v>
      </c>
      <c r="W28" s="98">
        <f>SUM(W17:W27)</f>
        <v>20795</v>
      </c>
      <c r="X28" s="207">
        <f>SUM(X17:X27)</f>
        <v>17329.166666666668</v>
      </c>
      <c r="Y28" s="207">
        <f>SUM(Y17:Y27)</f>
        <v>13476.160000000002</v>
      </c>
      <c r="Z28" s="207">
        <f>SUM(Z17:Z27)</f>
        <v>3853.0066666666648</v>
      </c>
      <c r="AA28" s="79"/>
      <c r="AB28" s="98">
        <f>SUM(AB17:AB27)</f>
        <v>18550</v>
      </c>
      <c r="AC28" s="207">
        <f>SUM(AC17:AC27)</f>
        <v>15458.333333333332</v>
      </c>
      <c r="AD28" s="207">
        <f>SUM(AD17:AD27)</f>
        <v>17443</v>
      </c>
      <c r="AE28" s="207">
        <f>SUM(AE17:AE27)</f>
        <v>-1984.666666666667</v>
      </c>
    </row>
    <row r="29" spans="1:40" x14ac:dyDescent="0.25">
      <c r="A29" s="208"/>
      <c r="B29" s="202"/>
      <c r="C29" s="202"/>
      <c r="D29" s="77"/>
      <c r="E29" s="78"/>
      <c r="F29" s="327"/>
      <c r="G29" s="208"/>
      <c r="H29" s="209"/>
      <c r="J29" s="79"/>
      <c r="K29" s="79"/>
      <c r="L29" s="79"/>
      <c r="O29" s="209"/>
      <c r="P29" s="78"/>
      <c r="Q29" s="79"/>
      <c r="R29" s="201"/>
      <c r="S29" s="185"/>
      <c r="T29" s="79"/>
      <c r="U29" s="79"/>
      <c r="V29" s="209"/>
      <c r="W29" s="78"/>
      <c r="X29" s="79"/>
      <c r="Y29" s="185"/>
      <c r="Z29" s="185"/>
      <c r="AA29" s="79"/>
      <c r="AB29" s="78"/>
      <c r="AC29" s="185"/>
      <c r="AD29" s="185"/>
      <c r="AE29" s="185"/>
    </row>
    <row r="30" spans="1:40" x14ac:dyDescent="0.25">
      <c r="A30" s="4" t="s">
        <v>67</v>
      </c>
      <c r="B30" s="202"/>
      <c r="C30" s="202"/>
      <c r="D30" s="77"/>
      <c r="E30" s="78"/>
      <c r="F30" s="327"/>
      <c r="G30" s="4"/>
      <c r="H30" s="209"/>
      <c r="J30" s="79"/>
      <c r="K30" s="79"/>
      <c r="L30" s="79"/>
      <c r="O30" s="209"/>
      <c r="P30" s="78"/>
      <c r="Q30" s="79"/>
      <c r="R30" s="201"/>
      <c r="S30" s="185"/>
      <c r="T30" s="79"/>
      <c r="U30" s="79"/>
      <c r="V30" s="77"/>
      <c r="W30" s="78"/>
      <c r="X30" s="79"/>
      <c r="Y30" s="79"/>
      <c r="Z30" s="185"/>
      <c r="AA30" s="79"/>
      <c r="AB30" s="78"/>
      <c r="AC30" s="185"/>
      <c r="AD30" s="185"/>
      <c r="AE30" s="185"/>
    </row>
    <row r="31" spans="1:40" ht="15.6" x14ac:dyDescent="0.25">
      <c r="A31" s="5" t="s">
        <v>66</v>
      </c>
      <c r="B31" s="202" t="s">
        <v>228</v>
      </c>
      <c r="C31" s="202"/>
      <c r="D31" s="57">
        <f>E31-I31</f>
        <v>900</v>
      </c>
      <c r="E31" s="346">
        <v>1300</v>
      </c>
      <c r="F31" s="393"/>
      <c r="G31" s="5"/>
      <c r="H31" s="57">
        <f>I31-P31</f>
        <v>-200</v>
      </c>
      <c r="I31" s="311">
        <v>400</v>
      </c>
      <c r="J31" s="83">
        <f>I31/12*Summary!$H$30</f>
        <v>333.33333333333337</v>
      </c>
      <c r="K31" s="260">
        <v>1923</v>
      </c>
      <c r="L31" s="83">
        <f t="shared" ref="L31:L33" si="37">J31-K31</f>
        <v>-1589.6666666666665</v>
      </c>
      <c r="O31" s="57">
        <f>P31-W31</f>
        <v>-600</v>
      </c>
      <c r="P31" s="78">
        <v>600</v>
      </c>
      <c r="Q31" s="83">
        <f t="shared" ref="Q31:Q34" si="38">P31</f>
        <v>600</v>
      </c>
      <c r="R31" s="201">
        <v>2194</v>
      </c>
      <c r="S31" s="83">
        <f t="shared" ref="S31:S34" si="39">Q31-R31</f>
        <v>-1594</v>
      </c>
      <c r="T31" s="79"/>
      <c r="U31" s="79"/>
      <c r="V31" s="59">
        <f t="shared" ref="V31:V33" si="40">W31-AB31</f>
        <v>-800</v>
      </c>
      <c r="W31" s="78">
        <v>1200</v>
      </c>
      <c r="X31" s="83">
        <f t="shared" ref="X31:X33" si="41">W31/12*10</f>
        <v>1000</v>
      </c>
      <c r="Y31" s="79">
        <v>470.89</v>
      </c>
      <c r="Z31" s="83">
        <f t="shared" ref="Z31:Z33" si="42">X31-Y31</f>
        <v>529.11</v>
      </c>
      <c r="AA31" s="79"/>
      <c r="AB31" s="78">
        <v>2000</v>
      </c>
      <c r="AC31" s="58">
        <f t="shared" ref="AC31:AC33" si="43">AB31/12*10</f>
        <v>1666.6666666666665</v>
      </c>
      <c r="AD31" s="61">
        <v>1208</v>
      </c>
      <c r="AE31" s="61">
        <f t="shared" ref="AE31:AE33" si="44">AC31-AD31</f>
        <v>458.66666666666652</v>
      </c>
    </row>
    <row r="32" spans="1:40" ht="15.6" x14ac:dyDescent="0.25">
      <c r="A32" s="5" t="s">
        <v>80</v>
      </c>
      <c r="B32" s="202" t="s">
        <v>228</v>
      </c>
      <c r="C32" s="202"/>
      <c r="D32" s="57">
        <f>E32-I32</f>
        <v>0</v>
      </c>
      <c r="E32" s="346">
        <v>1500</v>
      </c>
      <c r="F32" s="393"/>
      <c r="G32" s="5"/>
      <c r="H32" s="57">
        <f>I32-P32</f>
        <v>-3500</v>
      </c>
      <c r="I32" s="311">
        <v>1500</v>
      </c>
      <c r="J32" s="83">
        <f>I32/12*Summary!$H$30</f>
        <v>1250</v>
      </c>
      <c r="K32" s="260">
        <v>0</v>
      </c>
      <c r="L32" s="83">
        <f t="shared" si="37"/>
        <v>1250</v>
      </c>
      <c r="O32" s="57">
        <f>P32-W32</f>
        <v>0</v>
      </c>
      <c r="P32" s="78">
        <v>5000</v>
      </c>
      <c r="Q32" s="83">
        <f t="shared" si="38"/>
        <v>5000</v>
      </c>
      <c r="R32" s="201">
        <v>673</v>
      </c>
      <c r="S32" s="83">
        <f t="shared" si="39"/>
        <v>4327</v>
      </c>
      <c r="T32" s="79"/>
      <c r="U32" s="79"/>
      <c r="V32" s="59">
        <f t="shared" si="40"/>
        <v>2500</v>
      </c>
      <c r="W32" s="78">
        <v>5000</v>
      </c>
      <c r="X32" s="83">
        <f t="shared" si="41"/>
        <v>4166.666666666667</v>
      </c>
      <c r="Y32" s="79">
        <v>8556</v>
      </c>
      <c r="Z32" s="83">
        <f t="shared" si="42"/>
        <v>-4389.333333333333</v>
      </c>
      <c r="AA32" s="79"/>
      <c r="AB32" s="78">
        <v>2500</v>
      </c>
      <c r="AC32" s="58">
        <f t="shared" si="43"/>
        <v>2083.3333333333335</v>
      </c>
      <c r="AD32" s="61">
        <v>3950</v>
      </c>
      <c r="AE32" s="61">
        <f t="shared" si="44"/>
        <v>-1866.6666666666665</v>
      </c>
      <c r="AN32" s="17" t="s">
        <v>228</v>
      </c>
    </row>
    <row r="33" spans="1:42" ht="15.6" x14ac:dyDescent="0.25">
      <c r="A33" s="5" t="s">
        <v>42</v>
      </c>
      <c r="B33" s="202" t="s">
        <v>228</v>
      </c>
      <c r="C33" s="202"/>
      <c r="D33" s="57">
        <f>E33-I33</f>
        <v>0</v>
      </c>
      <c r="E33" s="346">
        <v>1000</v>
      </c>
      <c r="F33" s="393"/>
      <c r="G33" s="5"/>
      <c r="H33" s="57">
        <f>I33-P33</f>
        <v>0</v>
      </c>
      <c r="I33" s="311">
        <v>1000</v>
      </c>
      <c r="J33" s="83">
        <f>I33/12*Summary!$H$30</f>
        <v>833.33333333333326</v>
      </c>
      <c r="K33" s="260">
        <v>949</v>
      </c>
      <c r="L33" s="83">
        <f t="shared" si="37"/>
        <v>-115.66666666666674</v>
      </c>
      <c r="O33" s="57">
        <f>P33-W33</f>
        <v>-100</v>
      </c>
      <c r="P33" s="78">
        <v>1000</v>
      </c>
      <c r="Q33" s="83">
        <f t="shared" si="38"/>
        <v>1000</v>
      </c>
      <c r="R33" s="201">
        <v>963</v>
      </c>
      <c r="S33" s="83">
        <f t="shared" si="39"/>
        <v>37</v>
      </c>
      <c r="T33" s="79"/>
      <c r="U33" s="79"/>
      <c r="V33" s="59">
        <f t="shared" si="40"/>
        <v>300</v>
      </c>
      <c r="W33" s="78">
        <v>1100</v>
      </c>
      <c r="X33" s="83">
        <f t="shared" si="41"/>
        <v>916.66666666666674</v>
      </c>
      <c r="Y33" s="79">
        <v>960.42</v>
      </c>
      <c r="Z33" s="83">
        <f t="shared" si="42"/>
        <v>-43.753333333333217</v>
      </c>
      <c r="AA33" s="79"/>
      <c r="AB33" s="78">
        <v>800</v>
      </c>
      <c r="AC33" s="58">
        <f t="shared" si="43"/>
        <v>666.66666666666674</v>
      </c>
      <c r="AD33" s="61">
        <v>975</v>
      </c>
      <c r="AE33" s="61">
        <f t="shared" si="44"/>
        <v>-308.33333333333326</v>
      </c>
    </row>
    <row r="34" spans="1:42" x14ac:dyDescent="0.25">
      <c r="A34" s="461" t="s">
        <v>239</v>
      </c>
      <c r="B34" s="460"/>
      <c r="C34" s="460"/>
      <c r="D34" s="456"/>
      <c r="E34" s="204"/>
      <c r="F34" s="204"/>
      <c r="G34" s="457"/>
      <c r="H34" s="458"/>
      <c r="I34" s="459">
        <v>0</v>
      </c>
      <c r="J34" s="452"/>
      <c r="K34" s="260">
        <v>438</v>
      </c>
      <c r="L34" s="79"/>
      <c r="O34" s="209"/>
      <c r="P34" s="78"/>
      <c r="Q34" s="83">
        <f t="shared" si="38"/>
        <v>0</v>
      </c>
      <c r="R34" s="201">
        <v>689</v>
      </c>
      <c r="S34" s="83">
        <f t="shared" si="39"/>
        <v>-689</v>
      </c>
      <c r="T34" s="79"/>
      <c r="U34" s="79"/>
      <c r="V34" s="77"/>
      <c r="W34" s="78"/>
      <c r="X34" s="79"/>
      <c r="Y34" s="185"/>
      <c r="Z34" s="185"/>
      <c r="AA34" s="79"/>
      <c r="AB34" s="78"/>
      <c r="AC34" s="185"/>
      <c r="AD34" s="185"/>
      <c r="AE34" s="185"/>
      <c r="AG34" s="233" t="s">
        <v>240</v>
      </c>
    </row>
    <row r="35" spans="1:42" ht="15" thickBot="1" x14ac:dyDescent="0.3">
      <c r="A35" s="174" t="s">
        <v>148</v>
      </c>
      <c r="B35" s="202"/>
      <c r="C35" s="202"/>
      <c r="D35" s="206">
        <f>SUM(D30:D34)</f>
        <v>900</v>
      </c>
      <c r="E35" s="98">
        <f>SUM(E30:E34)</f>
        <v>3800</v>
      </c>
      <c r="F35" s="323"/>
      <c r="G35" s="208"/>
      <c r="H35" s="206">
        <f>SUM(H30:H34)</f>
        <v>-3700</v>
      </c>
      <c r="I35" s="330">
        <f>SUM(I30:I34)</f>
        <v>2900</v>
      </c>
      <c r="J35" s="207">
        <f>SUM(J30:J34)</f>
        <v>2416.666666666667</v>
      </c>
      <c r="K35" s="207">
        <f>SUM(K30:K34)</f>
        <v>3310</v>
      </c>
      <c r="L35" s="207">
        <f>SUM(L30:L34)</f>
        <v>-455.33333333333326</v>
      </c>
      <c r="M35" s="128"/>
      <c r="N35" s="128"/>
      <c r="O35" s="206">
        <f>SUM(O30:O34)</f>
        <v>-700</v>
      </c>
      <c r="P35" s="98">
        <f>SUM(P30:P34)</f>
        <v>6600</v>
      </c>
      <c r="Q35" s="207">
        <f>SUM(Q30:Q34)</f>
        <v>6600</v>
      </c>
      <c r="R35" s="391">
        <f>SUM(R30:R34)</f>
        <v>4519</v>
      </c>
      <c r="S35" s="207">
        <f>SUM(S30:S34)</f>
        <v>2081</v>
      </c>
      <c r="T35" s="79"/>
      <c r="U35" s="79"/>
      <c r="V35" s="206">
        <f>SUM(V30:V34)</f>
        <v>2000</v>
      </c>
      <c r="W35" s="98">
        <f>SUM(W30:W34)</f>
        <v>7300</v>
      </c>
      <c r="X35" s="207">
        <f>SUM(X30:X34)</f>
        <v>6083.3333333333339</v>
      </c>
      <c r="Y35" s="207">
        <f>SUM(Y30:Y34)</f>
        <v>9987.31</v>
      </c>
      <c r="Z35" s="207">
        <f>SUM(Z30:Z34)</f>
        <v>-3903.976666666666</v>
      </c>
      <c r="AA35" s="79"/>
      <c r="AB35" s="98">
        <f>SUM(AB30:AB34)</f>
        <v>5300</v>
      </c>
      <c r="AC35" s="207">
        <f>SUM(AC30:AC34)</f>
        <v>4416.666666666667</v>
      </c>
      <c r="AD35" s="207">
        <f>SUM(AD30:AD34)</f>
        <v>6133</v>
      </c>
      <c r="AE35" s="207">
        <f>SUM(AE30:AE34)</f>
        <v>-1716.3333333333333</v>
      </c>
      <c r="AH35" s="17" t="s">
        <v>228</v>
      </c>
    </row>
    <row r="36" spans="1:42" x14ac:dyDescent="0.25">
      <c r="A36" s="208"/>
      <c r="B36" s="202"/>
      <c r="C36" s="202"/>
      <c r="D36" s="77"/>
      <c r="E36" s="78"/>
      <c r="F36" s="327"/>
      <c r="G36" s="208"/>
      <c r="H36" s="209"/>
      <c r="J36" s="79"/>
      <c r="K36" s="79"/>
      <c r="L36" s="79"/>
      <c r="O36" s="209"/>
      <c r="P36" s="78"/>
      <c r="Q36" s="79"/>
      <c r="R36" s="201"/>
      <c r="S36" s="185"/>
      <c r="T36" s="79"/>
      <c r="U36" s="79"/>
      <c r="V36" s="209"/>
      <c r="W36" s="78"/>
      <c r="X36" s="79"/>
      <c r="Y36" s="185"/>
      <c r="Z36" s="185"/>
      <c r="AA36" s="79"/>
      <c r="AB36" s="78"/>
      <c r="AC36" s="185"/>
      <c r="AD36" s="185"/>
      <c r="AE36" s="185"/>
    </row>
    <row r="37" spans="1:42" x14ac:dyDescent="0.25">
      <c r="A37" s="7" t="s">
        <v>37</v>
      </c>
      <c r="D37" s="77"/>
      <c r="E37" s="78"/>
      <c r="F37" s="327"/>
      <c r="G37" s="7"/>
      <c r="H37" s="209"/>
      <c r="J37" s="79"/>
      <c r="K37" s="79"/>
      <c r="L37" s="79"/>
      <c r="O37" s="209"/>
      <c r="P37" s="78"/>
      <c r="Q37" s="79"/>
      <c r="R37" s="201"/>
      <c r="S37" s="185"/>
      <c r="T37" s="79"/>
      <c r="U37" s="79"/>
      <c r="V37" s="77"/>
      <c r="W37" s="78"/>
      <c r="X37" s="79"/>
      <c r="Y37" s="185"/>
      <c r="Z37" s="185"/>
      <c r="AA37" s="79"/>
      <c r="AB37" s="78"/>
      <c r="AC37" s="185"/>
      <c r="AD37" s="185"/>
      <c r="AE37" s="185"/>
    </row>
    <row r="38" spans="1:42" ht="15.6" x14ac:dyDescent="0.25">
      <c r="A38" s="5" t="s">
        <v>38</v>
      </c>
      <c r="B38" s="202" t="s">
        <v>228</v>
      </c>
      <c r="C38" s="202"/>
      <c r="D38" s="57">
        <f t="shared" ref="D38:D45" si="45">E38-I38</f>
        <v>-2500</v>
      </c>
      <c r="E38" s="346">
        <v>2500</v>
      </c>
      <c r="F38" s="393"/>
      <c r="G38" s="5"/>
      <c r="H38" s="57">
        <f t="shared" ref="H38:H45" si="46">I38-P38</f>
        <v>-836.80000000000018</v>
      </c>
      <c r="I38" s="303">
        <v>5000</v>
      </c>
      <c r="J38" s="83">
        <f>I38/12*Summary!$H$30</f>
        <v>4166.666666666667</v>
      </c>
      <c r="K38" s="260"/>
      <c r="L38" s="83">
        <f t="shared" ref="L38:L45" si="47">J38-K38</f>
        <v>4166.666666666667</v>
      </c>
      <c r="M38" s="243"/>
      <c r="N38" s="243"/>
      <c r="O38" s="57">
        <f t="shared" ref="O38:O45" si="48">P38-W38</f>
        <v>136.80000000000018</v>
      </c>
      <c r="P38" s="82">
        <f>W38+(W38*$P$80)</f>
        <v>5836.8</v>
      </c>
      <c r="Q38" s="83">
        <f t="shared" ref="Q38:Q39" si="49">P38</f>
        <v>5836.8</v>
      </c>
      <c r="R38" s="201">
        <v>2473</v>
      </c>
      <c r="S38" s="83">
        <f t="shared" ref="S38:S45" si="50">Q38-R38</f>
        <v>3363.8</v>
      </c>
      <c r="T38" s="79"/>
      <c r="U38" s="79"/>
      <c r="V38" s="59">
        <f t="shared" ref="V38:V42" si="51">W38-AB38</f>
        <v>1000</v>
      </c>
      <c r="W38" s="78">
        <v>5700</v>
      </c>
      <c r="X38" s="83">
        <f t="shared" ref="X38:X42" si="52">W38/12*10</f>
        <v>4750</v>
      </c>
      <c r="Y38" s="79">
        <v>-500</v>
      </c>
      <c r="Z38" s="83">
        <f t="shared" ref="Z38:Z42" si="53">X38-Y38</f>
        <v>5250</v>
      </c>
      <c r="AA38" s="79"/>
      <c r="AB38" s="78">
        <v>4700</v>
      </c>
      <c r="AC38" s="58">
        <f t="shared" ref="AC38:AC42" si="54">AB38/12*10</f>
        <v>3916.666666666667</v>
      </c>
      <c r="AD38" s="61">
        <v>4346</v>
      </c>
      <c r="AE38" s="61">
        <f t="shared" ref="AE38:AE42" si="55">AC38-AD38</f>
        <v>-429.33333333333303</v>
      </c>
    </row>
    <row r="39" spans="1:42" ht="12.6" customHeight="1" x14ac:dyDescent="0.25">
      <c r="A39" s="5" t="s">
        <v>69</v>
      </c>
      <c r="B39" s="202"/>
      <c r="C39" s="202"/>
      <c r="D39" s="57">
        <f t="shared" si="45"/>
        <v>-250</v>
      </c>
      <c r="E39" s="390">
        <v>250</v>
      </c>
      <c r="F39" s="327"/>
      <c r="G39" s="5"/>
      <c r="H39" s="57">
        <f t="shared" si="46"/>
        <v>250</v>
      </c>
      <c r="I39" s="311">
        <v>500</v>
      </c>
      <c r="J39" s="83">
        <f>I39/12*Summary!$H$30</f>
        <v>416.66666666666663</v>
      </c>
      <c r="K39" s="260">
        <v>14</v>
      </c>
      <c r="L39" s="83">
        <f t="shared" si="47"/>
        <v>402.66666666666663</v>
      </c>
      <c r="O39" s="57">
        <f t="shared" si="48"/>
        <v>-1250</v>
      </c>
      <c r="P39" s="78">
        <v>250</v>
      </c>
      <c r="Q39" s="83">
        <f t="shared" si="49"/>
        <v>250</v>
      </c>
      <c r="R39" s="201">
        <v>572</v>
      </c>
      <c r="S39" s="83">
        <f t="shared" si="50"/>
        <v>-322</v>
      </c>
      <c r="T39" s="79"/>
      <c r="U39" s="79"/>
      <c r="V39" s="59">
        <f t="shared" si="51"/>
        <v>500</v>
      </c>
      <c r="W39" s="78">
        <v>1500</v>
      </c>
      <c r="X39" s="83">
        <f t="shared" si="52"/>
        <v>1250</v>
      </c>
      <c r="Y39" s="79">
        <v>323.02999999999997</v>
      </c>
      <c r="Z39" s="83">
        <f t="shared" si="53"/>
        <v>926.97</v>
      </c>
      <c r="AA39" s="79"/>
      <c r="AB39" s="78">
        <v>1000</v>
      </c>
      <c r="AC39" s="58">
        <f t="shared" si="54"/>
        <v>833.33333333333326</v>
      </c>
      <c r="AD39" s="61">
        <v>956</v>
      </c>
      <c r="AE39" s="61">
        <f t="shared" si="55"/>
        <v>-122.66666666666674</v>
      </c>
      <c r="AK39" s="17"/>
    </row>
    <row r="40" spans="1:42" ht="15.6" hidden="1" x14ac:dyDescent="0.25">
      <c r="A40" s="168" t="s">
        <v>117</v>
      </c>
      <c r="B40" s="202"/>
      <c r="C40" s="202"/>
      <c r="D40" s="57">
        <f t="shared" si="45"/>
        <v>0</v>
      </c>
      <c r="E40" s="390"/>
      <c r="F40" s="327"/>
      <c r="G40" s="168"/>
      <c r="H40" s="57">
        <f t="shared" si="46"/>
        <v>0</v>
      </c>
      <c r="I40" s="311">
        <v>0</v>
      </c>
      <c r="J40" s="83">
        <f>I40/12*Summary!$H$30</f>
        <v>0</v>
      </c>
      <c r="K40" s="260"/>
      <c r="L40" s="83">
        <f t="shared" si="47"/>
        <v>0</v>
      </c>
      <c r="O40" s="57">
        <f t="shared" si="48"/>
        <v>0</v>
      </c>
      <c r="P40" s="78">
        <v>0</v>
      </c>
      <c r="Q40" s="83">
        <f t="shared" ref="Q40:Q45" si="56">P40/12*10</f>
        <v>0</v>
      </c>
      <c r="R40" s="201">
        <v>0</v>
      </c>
      <c r="S40" s="83">
        <f t="shared" si="50"/>
        <v>0</v>
      </c>
      <c r="T40" s="79"/>
      <c r="U40" s="79"/>
      <c r="V40" s="59">
        <f t="shared" si="51"/>
        <v>0</v>
      </c>
      <c r="W40" s="78"/>
      <c r="X40" s="83">
        <f t="shared" si="52"/>
        <v>0</v>
      </c>
      <c r="Y40" s="79">
        <v>0</v>
      </c>
      <c r="Z40" s="83">
        <f t="shared" si="53"/>
        <v>0</v>
      </c>
      <c r="AA40" s="79"/>
      <c r="AB40" s="78"/>
      <c r="AC40" s="58">
        <f t="shared" si="54"/>
        <v>0</v>
      </c>
      <c r="AD40" s="61">
        <v>0</v>
      </c>
      <c r="AE40" s="61">
        <f t="shared" si="55"/>
        <v>0</v>
      </c>
      <c r="AK40" s="17"/>
    </row>
    <row r="41" spans="1:42" ht="15.6" hidden="1" x14ac:dyDescent="0.3">
      <c r="A41" s="5" t="s">
        <v>118</v>
      </c>
      <c r="B41" s="30"/>
      <c r="C41" s="30"/>
      <c r="D41" s="57">
        <f t="shared" si="45"/>
        <v>0</v>
      </c>
      <c r="E41" s="390"/>
      <c r="F41" s="327"/>
      <c r="G41" s="5"/>
      <c r="H41" s="57">
        <f t="shared" si="46"/>
        <v>0</v>
      </c>
      <c r="I41" s="311">
        <v>0</v>
      </c>
      <c r="J41" s="83">
        <f>I41/12*Summary!$H$30</f>
        <v>0</v>
      </c>
      <c r="K41" s="260"/>
      <c r="L41" s="83">
        <f t="shared" si="47"/>
        <v>0</v>
      </c>
      <c r="O41" s="57">
        <f t="shared" si="48"/>
        <v>0</v>
      </c>
      <c r="P41" s="78">
        <v>0</v>
      </c>
      <c r="Q41" s="83">
        <f t="shared" si="56"/>
        <v>0</v>
      </c>
      <c r="R41" s="201">
        <v>0</v>
      </c>
      <c r="S41" s="83">
        <f t="shared" si="50"/>
        <v>0</v>
      </c>
      <c r="T41" s="79"/>
      <c r="U41" s="79"/>
      <c r="V41" s="59">
        <f t="shared" si="51"/>
        <v>0</v>
      </c>
      <c r="W41" s="78"/>
      <c r="X41" s="83">
        <f t="shared" si="52"/>
        <v>0</v>
      </c>
      <c r="Y41" s="79">
        <v>0</v>
      </c>
      <c r="Z41" s="83">
        <f t="shared" si="53"/>
        <v>0</v>
      </c>
      <c r="AA41" s="79"/>
      <c r="AB41" s="78"/>
      <c r="AC41" s="58">
        <f t="shared" si="54"/>
        <v>0</v>
      </c>
      <c r="AD41" s="61">
        <v>0</v>
      </c>
      <c r="AE41" s="61">
        <f t="shared" si="55"/>
        <v>0</v>
      </c>
      <c r="AI41" s="17"/>
    </row>
    <row r="42" spans="1:42" ht="15.6" hidden="1" x14ac:dyDescent="0.3">
      <c r="A42" s="48" t="s">
        <v>104</v>
      </c>
      <c r="B42" s="202"/>
      <c r="C42" s="202"/>
      <c r="D42" s="57">
        <f t="shared" si="45"/>
        <v>0</v>
      </c>
      <c r="E42" s="389"/>
      <c r="F42" s="415"/>
      <c r="G42" s="48"/>
      <c r="H42" s="57">
        <f t="shared" si="46"/>
        <v>0</v>
      </c>
      <c r="I42" s="315">
        <v>0</v>
      </c>
      <c r="J42" s="83">
        <f>I42/12*Summary!$H$30</f>
        <v>0</v>
      </c>
      <c r="K42" s="271"/>
      <c r="L42" s="58">
        <f t="shared" si="47"/>
        <v>0</v>
      </c>
      <c r="M42" s="32"/>
      <c r="N42" s="32"/>
      <c r="O42" s="57">
        <f t="shared" si="48"/>
        <v>-750</v>
      </c>
      <c r="P42" s="113"/>
      <c r="Q42" s="58">
        <f t="shared" si="56"/>
        <v>0</v>
      </c>
      <c r="R42" s="201">
        <v>0</v>
      </c>
      <c r="S42" s="58">
        <f t="shared" si="50"/>
        <v>0</v>
      </c>
      <c r="T42" s="61"/>
      <c r="U42" s="61"/>
      <c r="V42" s="59">
        <f t="shared" si="51"/>
        <v>750</v>
      </c>
      <c r="W42" s="113">
        <v>750</v>
      </c>
      <c r="X42" s="58">
        <f t="shared" si="52"/>
        <v>625</v>
      </c>
      <c r="Y42" s="58">
        <v>1317.79</v>
      </c>
      <c r="Z42" s="58">
        <f t="shared" si="53"/>
        <v>-692.79</v>
      </c>
      <c r="AA42" s="114"/>
      <c r="AB42" s="113"/>
      <c r="AC42" s="58">
        <f t="shared" si="54"/>
        <v>0</v>
      </c>
      <c r="AD42" s="114">
        <v>2964</v>
      </c>
      <c r="AE42" s="61">
        <f t="shared" si="55"/>
        <v>-2964</v>
      </c>
      <c r="AF42" s="30"/>
      <c r="AG42" s="46"/>
      <c r="AH42" s="30"/>
      <c r="AI42" s="30"/>
      <c r="AJ42" s="30"/>
      <c r="AK42" s="30"/>
      <c r="AL42" s="30"/>
      <c r="AN42" s="30"/>
      <c r="AO42" s="30"/>
      <c r="AP42" s="30"/>
    </row>
    <row r="43" spans="1:42" ht="15.6" hidden="1" x14ac:dyDescent="0.25">
      <c r="A43" s="213" t="s">
        <v>152</v>
      </c>
      <c r="B43" s="202"/>
      <c r="C43" s="202"/>
      <c r="D43" s="57">
        <f t="shared" si="45"/>
        <v>0</v>
      </c>
      <c r="E43" s="390"/>
      <c r="F43" s="327"/>
      <c r="G43" s="213"/>
      <c r="H43" s="57">
        <f t="shared" si="46"/>
        <v>0</v>
      </c>
      <c r="I43" s="311">
        <v>0</v>
      </c>
      <c r="J43" s="83">
        <f>I43/12*Summary!$H$30</f>
        <v>0</v>
      </c>
      <c r="K43" s="260"/>
      <c r="L43" s="83">
        <f t="shared" si="47"/>
        <v>0</v>
      </c>
      <c r="O43" s="57">
        <f t="shared" si="48"/>
        <v>0</v>
      </c>
      <c r="P43" s="78"/>
      <c r="Q43" s="83">
        <f t="shared" si="56"/>
        <v>0</v>
      </c>
      <c r="R43" s="201">
        <v>0</v>
      </c>
      <c r="S43" s="83">
        <f t="shared" si="50"/>
        <v>0</v>
      </c>
      <c r="T43" s="79"/>
      <c r="U43" s="79"/>
      <c r="V43" s="59">
        <f t="shared" ref="V43:V45" si="57">W43-AB43</f>
        <v>0</v>
      </c>
      <c r="W43" s="78"/>
      <c r="X43" s="83">
        <f t="shared" ref="X43:X45" si="58">W43/12*10</f>
        <v>0</v>
      </c>
      <c r="Y43" s="79"/>
      <c r="Z43" s="83">
        <f t="shared" ref="Z43:Z45" si="59">X43-Y43</f>
        <v>0</v>
      </c>
      <c r="AA43" s="79"/>
      <c r="AB43" s="78"/>
      <c r="AC43" s="58">
        <f t="shared" ref="AC43:AC45" si="60">AB43/12*10</f>
        <v>0</v>
      </c>
      <c r="AD43" s="61"/>
      <c r="AE43" s="61">
        <f t="shared" ref="AE43:AE45" si="61">AC43-AD43</f>
        <v>0</v>
      </c>
      <c r="AG43" s="17"/>
    </row>
    <row r="44" spans="1:42" s="30" customFormat="1" hidden="1" x14ac:dyDescent="0.3">
      <c r="A44" s="48" t="s">
        <v>227</v>
      </c>
      <c r="D44" s="81">
        <f>E44-I44</f>
        <v>0</v>
      </c>
      <c r="E44" s="258"/>
      <c r="F44" s="315"/>
      <c r="G44" s="48"/>
      <c r="H44" s="81">
        <f>I44-P44</f>
        <v>0</v>
      </c>
      <c r="I44" s="315">
        <v>0</v>
      </c>
      <c r="J44" s="83">
        <f>I44/12*Summary!$H$30</f>
        <v>0</v>
      </c>
      <c r="K44" s="270"/>
      <c r="L44" s="83">
        <f>J44-K44</f>
        <v>0</v>
      </c>
      <c r="M44" s="32"/>
      <c r="N44" s="32"/>
      <c r="O44" s="81">
        <f>P44-W44</f>
        <v>0</v>
      </c>
      <c r="P44" s="34"/>
      <c r="Q44" s="83">
        <f>P44/12*10</f>
        <v>0</v>
      </c>
      <c r="R44" s="357">
        <v>0</v>
      </c>
      <c r="S44" s="83">
        <f>Q44-R44</f>
        <v>0</v>
      </c>
      <c r="V44" s="77">
        <f>W44-AB44</f>
        <v>0</v>
      </c>
      <c r="W44" s="34">
        <v>0</v>
      </c>
      <c r="X44" s="83">
        <f>W44/12*10</f>
        <v>0</v>
      </c>
      <c r="Y44" s="114">
        <v>0</v>
      </c>
      <c r="Z44" s="83">
        <f>X44-Y44</f>
        <v>0</v>
      </c>
      <c r="AB44" s="34">
        <v>0</v>
      </c>
      <c r="AC44" s="83">
        <f>AB44/12*10</f>
        <v>0</v>
      </c>
      <c r="AD44" s="35">
        <v>0</v>
      </c>
      <c r="AE44" s="79">
        <f>AC44-AD44</f>
        <v>0</v>
      </c>
      <c r="AG44" s="46"/>
    </row>
    <row r="45" spans="1:42" ht="15.6" hidden="1" x14ac:dyDescent="0.25">
      <c r="A45" s="213" t="s">
        <v>151</v>
      </c>
      <c r="B45" s="202"/>
      <c r="C45" s="202"/>
      <c r="D45" s="57">
        <f t="shared" si="45"/>
        <v>0</v>
      </c>
      <c r="E45" s="390"/>
      <c r="F45" s="327"/>
      <c r="G45" s="213"/>
      <c r="H45" s="57">
        <f t="shared" si="46"/>
        <v>0</v>
      </c>
      <c r="I45" s="311">
        <v>0</v>
      </c>
      <c r="J45" s="83">
        <f>I45/12*Summary!$H$30</f>
        <v>0</v>
      </c>
      <c r="K45" s="260"/>
      <c r="L45" s="83">
        <f t="shared" si="47"/>
        <v>0</v>
      </c>
      <c r="O45" s="57">
        <f t="shared" si="48"/>
        <v>0</v>
      </c>
      <c r="P45" s="78">
        <v>0</v>
      </c>
      <c r="Q45" s="83">
        <f t="shared" si="56"/>
        <v>0</v>
      </c>
      <c r="R45" s="201">
        <v>0</v>
      </c>
      <c r="S45" s="83">
        <f t="shared" si="50"/>
        <v>0</v>
      </c>
      <c r="T45" s="79"/>
      <c r="U45" s="79"/>
      <c r="V45" s="59">
        <f t="shared" si="57"/>
        <v>0</v>
      </c>
      <c r="W45" s="78"/>
      <c r="X45" s="83">
        <f t="shared" si="58"/>
        <v>0</v>
      </c>
      <c r="Y45" s="79"/>
      <c r="Z45" s="83">
        <f t="shared" si="59"/>
        <v>0</v>
      </c>
      <c r="AA45" s="79"/>
      <c r="AB45" s="78"/>
      <c r="AC45" s="58">
        <f t="shared" si="60"/>
        <v>0</v>
      </c>
      <c r="AD45" s="61"/>
      <c r="AE45" s="61">
        <f t="shared" si="61"/>
        <v>0</v>
      </c>
      <c r="AG45" s="17"/>
    </row>
    <row r="46" spans="1:42" x14ac:dyDescent="0.25">
      <c r="A46" s="208"/>
      <c r="B46" s="202"/>
      <c r="C46" s="202"/>
      <c r="D46" s="77"/>
      <c r="E46" s="78"/>
      <c r="F46" s="327"/>
      <c r="G46" s="208"/>
      <c r="H46" s="209"/>
      <c r="J46" s="79"/>
      <c r="K46" s="79"/>
      <c r="L46" s="79"/>
      <c r="O46" s="209"/>
      <c r="P46" s="78"/>
      <c r="Q46" s="79"/>
      <c r="R46" s="201"/>
      <c r="S46" s="185"/>
      <c r="T46" s="79"/>
      <c r="U46" s="79"/>
      <c r="V46" s="77"/>
      <c r="W46" s="78"/>
      <c r="X46" s="79"/>
      <c r="Y46" s="185"/>
      <c r="Z46" s="185"/>
      <c r="AA46" s="79"/>
      <c r="AB46" s="128"/>
      <c r="AC46" s="185"/>
      <c r="AD46" s="185"/>
      <c r="AE46" s="185"/>
    </row>
    <row r="47" spans="1:42" ht="15" thickBot="1" x14ac:dyDescent="0.3">
      <c r="A47" s="174" t="s">
        <v>149</v>
      </c>
      <c r="B47" s="202"/>
      <c r="C47" s="202"/>
      <c r="D47" s="206">
        <f>SUM(D37:D46)</f>
        <v>-2750</v>
      </c>
      <c r="E47" s="98">
        <f>SUM(E37:E46)</f>
        <v>2750</v>
      </c>
      <c r="F47" s="323"/>
      <c r="G47" s="208"/>
      <c r="H47" s="206">
        <f>SUM(H37:H46)</f>
        <v>-586.80000000000018</v>
      </c>
      <c r="I47" s="330">
        <f>SUM(I37:I46)</f>
        <v>5500</v>
      </c>
      <c r="J47" s="207">
        <f>SUM(J37:J46)</f>
        <v>4583.3333333333339</v>
      </c>
      <c r="K47" s="207">
        <f>SUM(K37:K46)</f>
        <v>14</v>
      </c>
      <c r="L47" s="207">
        <f>SUM(L37:L46)</f>
        <v>4569.3333333333339</v>
      </c>
      <c r="M47" s="128"/>
      <c r="N47" s="128"/>
      <c r="O47" s="206">
        <f>SUM(O37:O46)</f>
        <v>-1863.1999999999998</v>
      </c>
      <c r="P47" s="98">
        <f>SUM(P37:P46)</f>
        <v>6086.8</v>
      </c>
      <c r="Q47" s="207">
        <f>SUM(Q37:Q46)</f>
        <v>6086.8</v>
      </c>
      <c r="R47" s="391">
        <f>SUM(R37:R46)</f>
        <v>3045</v>
      </c>
      <c r="S47" s="207">
        <f>SUM(S37:S46)</f>
        <v>3041.8</v>
      </c>
      <c r="T47" s="79"/>
      <c r="U47" s="79"/>
      <c r="V47" s="206">
        <f>SUM(V37:V46)</f>
        <v>2250</v>
      </c>
      <c r="W47" s="98">
        <f>SUM(W37:W46)</f>
        <v>7950</v>
      </c>
      <c r="X47" s="207">
        <f>SUM(X37:X46)</f>
        <v>6625</v>
      </c>
      <c r="Y47" s="207">
        <f>SUM(Y37:Y46)</f>
        <v>1140.82</v>
      </c>
      <c r="Z47" s="207">
        <f>SUM(Z37:Z46)</f>
        <v>5484.18</v>
      </c>
      <c r="AA47" s="79"/>
      <c r="AB47" s="98">
        <f>SUM(AB37:AB46)</f>
        <v>5700</v>
      </c>
      <c r="AC47" s="207">
        <f>SUM(AC37:AC46)</f>
        <v>4750</v>
      </c>
      <c r="AD47" s="207">
        <f>SUM(AD37:AD46)</f>
        <v>8266</v>
      </c>
      <c r="AE47" s="207">
        <f>SUM(AE37:AE46)</f>
        <v>-3516</v>
      </c>
    </row>
    <row r="48" spans="1:42" x14ac:dyDescent="0.25">
      <c r="A48" s="208"/>
      <c r="B48" s="202"/>
      <c r="C48" s="202"/>
      <c r="D48" s="77"/>
      <c r="E48" s="78"/>
      <c r="F48" s="327"/>
      <c r="G48" s="208"/>
      <c r="H48" s="209"/>
      <c r="J48" s="79"/>
      <c r="K48" s="79"/>
      <c r="L48" s="79"/>
      <c r="O48" s="209"/>
      <c r="P48" s="128"/>
      <c r="Q48" s="79"/>
      <c r="R48" s="200"/>
      <c r="S48" s="185"/>
      <c r="T48" s="79"/>
      <c r="U48" s="79"/>
      <c r="V48" s="209"/>
      <c r="W48" s="128"/>
      <c r="X48" s="79"/>
      <c r="Y48" s="185"/>
      <c r="Z48" s="185"/>
      <c r="AA48" s="79"/>
      <c r="AB48" s="128"/>
      <c r="AC48" s="185"/>
      <c r="AD48" s="185"/>
      <c r="AE48" s="185"/>
    </row>
    <row r="49" spans="1:33" x14ac:dyDescent="0.25">
      <c r="A49" s="2" t="s">
        <v>27</v>
      </c>
      <c r="B49" s="202"/>
      <c r="C49" s="202"/>
      <c r="D49" s="77"/>
      <c r="E49" s="78"/>
      <c r="F49" s="327"/>
      <c r="G49" s="2"/>
      <c r="H49" s="77"/>
      <c r="J49" s="79"/>
      <c r="K49" s="79"/>
      <c r="L49" s="79"/>
      <c r="O49" s="77"/>
      <c r="P49" s="78"/>
      <c r="Q49" s="79"/>
      <c r="R49" s="201"/>
      <c r="S49" s="79"/>
      <c r="T49" s="79"/>
      <c r="U49" s="79"/>
      <c r="V49" s="77"/>
      <c r="W49" s="78"/>
      <c r="X49" s="79"/>
      <c r="Y49" s="79"/>
      <c r="Z49" s="79"/>
      <c r="AA49" s="79"/>
      <c r="AB49" s="78"/>
      <c r="AC49" s="79"/>
      <c r="AD49" s="79"/>
      <c r="AE49" s="79"/>
    </row>
    <row r="50" spans="1:33" ht="15.6" x14ac:dyDescent="0.25">
      <c r="A50" s="1" t="s">
        <v>28</v>
      </c>
      <c r="B50" s="202"/>
      <c r="C50" s="202"/>
      <c r="D50" s="57">
        <f t="shared" ref="D50:D58" si="62">E50-I50</f>
        <v>-100</v>
      </c>
      <c r="E50" s="346">
        <v>700</v>
      </c>
      <c r="F50" s="393"/>
      <c r="G50" s="1"/>
      <c r="H50" s="57">
        <f t="shared" ref="H50:H58" si="63">I50-P50</f>
        <v>0</v>
      </c>
      <c r="I50" s="311">
        <v>800</v>
      </c>
      <c r="J50" s="83">
        <f>I50/12*Summary!$H$30</f>
        <v>666.66666666666674</v>
      </c>
      <c r="K50" s="260">
        <v>589</v>
      </c>
      <c r="L50" s="83">
        <f t="shared" ref="L50:L58" si="64">J50-K50</f>
        <v>77.666666666666742</v>
      </c>
      <c r="O50" s="57">
        <f t="shared" ref="O50:O57" si="65">P50-W50</f>
        <v>-400</v>
      </c>
      <c r="P50" s="78">
        <v>800</v>
      </c>
      <c r="Q50" s="83">
        <f t="shared" ref="Q50:Q57" si="66">P50</f>
        <v>800</v>
      </c>
      <c r="R50" s="201">
        <v>806</v>
      </c>
      <c r="S50" s="83">
        <f t="shared" ref="S50:S57" si="67">Q50-R50</f>
        <v>-6</v>
      </c>
      <c r="T50" s="79"/>
      <c r="U50" s="79"/>
      <c r="V50" s="59">
        <f t="shared" ref="V50:V57" si="68">W50-AB50</f>
        <v>750</v>
      </c>
      <c r="W50" s="78">
        <v>1200</v>
      </c>
      <c r="X50" s="83">
        <f t="shared" ref="X50:X57" si="69">W50/12*10</f>
        <v>1000</v>
      </c>
      <c r="Y50" s="79">
        <v>631.51</v>
      </c>
      <c r="Z50" s="83">
        <f t="shared" ref="Z50:Z57" si="70">X50-Y50</f>
        <v>368.49</v>
      </c>
      <c r="AA50" s="79"/>
      <c r="AB50" s="78">
        <v>450</v>
      </c>
      <c r="AC50" s="58">
        <f t="shared" ref="AC50:AC57" si="71">AB50/12*10</f>
        <v>375</v>
      </c>
      <c r="AD50" s="61">
        <v>977</v>
      </c>
      <c r="AE50" s="61">
        <f t="shared" ref="AE50:AE57" si="72">AC50-AD50</f>
        <v>-602</v>
      </c>
    </row>
    <row r="51" spans="1:33" ht="15.6" x14ac:dyDescent="0.25">
      <c r="A51" s="1" t="s">
        <v>29</v>
      </c>
      <c r="B51" s="202"/>
      <c r="C51" s="202"/>
      <c r="D51" s="57">
        <f t="shared" si="62"/>
        <v>0</v>
      </c>
      <c r="E51" s="346">
        <f>I51+(I51*$E$80)</f>
        <v>0</v>
      </c>
      <c r="F51" s="393"/>
      <c r="G51" s="1"/>
      <c r="H51" s="57">
        <f t="shared" si="63"/>
        <v>0</v>
      </c>
      <c r="I51" s="311">
        <v>0</v>
      </c>
      <c r="J51" s="83">
        <f>I51/12*Summary!$H$30</f>
        <v>0</v>
      </c>
      <c r="K51" s="260">
        <v>0</v>
      </c>
      <c r="L51" s="83">
        <f t="shared" si="64"/>
        <v>0</v>
      </c>
      <c r="O51" s="57">
        <f t="shared" si="65"/>
        <v>0</v>
      </c>
      <c r="P51" s="78">
        <v>0</v>
      </c>
      <c r="Q51" s="83">
        <f t="shared" si="66"/>
        <v>0</v>
      </c>
      <c r="R51" s="201">
        <v>0</v>
      </c>
      <c r="S51" s="83">
        <f t="shared" si="67"/>
        <v>0</v>
      </c>
      <c r="T51" s="79"/>
      <c r="U51" s="79"/>
      <c r="V51" s="59">
        <f t="shared" si="68"/>
        <v>-530</v>
      </c>
      <c r="W51" s="78">
        <v>0</v>
      </c>
      <c r="X51" s="83">
        <f t="shared" si="69"/>
        <v>0</v>
      </c>
      <c r="Y51" s="79">
        <v>0</v>
      </c>
      <c r="Z51" s="83">
        <f t="shared" si="70"/>
        <v>0</v>
      </c>
      <c r="AA51" s="79"/>
      <c r="AB51" s="78">
        <v>530</v>
      </c>
      <c r="AC51" s="58">
        <f t="shared" si="71"/>
        <v>441.66666666666663</v>
      </c>
      <c r="AD51" s="61">
        <v>0</v>
      </c>
      <c r="AE51" s="61">
        <f t="shared" si="72"/>
        <v>441.66666666666663</v>
      </c>
    </row>
    <row r="52" spans="1:33" ht="15.6" x14ac:dyDescent="0.25">
      <c r="A52" s="1" t="s">
        <v>30</v>
      </c>
      <c r="B52" s="202"/>
      <c r="C52" s="202"/>
      <c r="D52" s="57">
        <f t="shared" si="62"/>
        <v>-200</v>
      </c>
      <c r="E52" s="346">
        <v>600</v>
      </c>
      <c r="F52" s="393"/>
      <c r="G52" s="1"/>
      <c r="H52" s="57">
        <f t="shared" si="63"/>
        <v>0</v>
      </c>
      <c r="I52" s="311">
        <v>800</v>
      </c>
      <c r="J52" s="83">
        <f>I52/12*Summary!$H$30</f>
        <v>666.66666666666674</v>
      </c>
      <c r="K52" s="260">
        <v>169</v>
      </c>
      <c r="L52" s="83">
        <f t="shared" si="64"/>
        <v>497.66666666666674</v>
      </c>
      <c r="O52" s="57">
        <f t="shared" si="65"/>
        <v>-200</v>
      </c>
      <c r="P52" s="78">
        <v>800</v>
      </c>
      <c r="Q52" s="83">
        <f t="shared" si="66"/>
        <v>800</v>
      </c>
      <c r="R52" s="201">
        <v>998</v>
      </c>
      <c r="S52" s="83">
        <f t="shared" si="67"/>
        <v>-198</v>
      </c>
      <c r="T52" s="79"/>
      <c r="U52" s="79"/>
      <c r="V52" s="59">
        <f t="shared" si="68"/>
        <v>400</v>
      </c>
      <c r="W52" s="78">
        <v>1000</v>
      </c>
      <c r="X52" s="83">
        <f t="shared" si="69"/>
        <v>833.33333333333326</v>
      </c>
      <c r="Y52" s="79">
        <v>590.89</v>
      </c>
      <c r="Z52" s="83">
        <f t="shared" si="70"/>
        <v>242.44333333333327</v>
      </c>
      <c r="AA52" s="79"/>
      <c r="AB52" s="78">
        <v>600</v>
      </c>
      <c r="AC52" s="58">
        <f t="shared" si="71"/>
        <v>500</v>
      </c>
      <c r="AD52" s="61">
        <v>914</v>
      </c>
      <c r="AE52" s="61">
        <f t="shared" si="72"/>
        <v>-414</v>
      </c>
    </row>
    <row r="53" spans="1:33" ht="15.6" x14ac:dyDescent="0.25">
      <c r="A53" s="1" t="s">
        <v>31</v>
      </c>
      <c r="B53" s="202"/>
      <c r="C53" s="202"/>
      <c r="D53" s="57">
        <f t="shared" si="62"/>
        <v>50</v>
      </c>
      <c r="E53" s="346">
        <v>50</v>
      </c>
      <c r="F53" s="393"/>
      <c r="G53" s="1"/>
      <c r="H53" s="57">
        <f t="shared" si="63"/>
        <v>-100</v>
      </c>
      <c r="I53" s="311">
        <v>0</v>
      </c>
      <c r="J53" s="83">
        <f>I53/12*Summary!$H$30</f>
        <v>0</v>
      </c>
      <c r="K53" s="260">
        <v>32</v>
      </c>
      <c r="L53" s="83">
        <f t="shared" si="64"/>
        <v>-32</v>
      </c>
      <c r="O53" s="57">
        <f t="shared" si="65"/>
        <v>-150</v>
      </c>
      <c r="P53" s="78">
        <v>100</v>
      </c>
      <c r="Q53" s="83">
        <f t="shared" si="66"/>
        <v>100</v>
      </c>
      <c r="R53" s="201">
        <v>214</v>
      </c>
      <c r="S53" s="83">
        <f t="shared" si="67"/>
        <v>-114</v>
      </c>
      <c r="T53" s="79"/>
      <c r="U53" s="79"/>
      <c r="V53" s="59">
        <f t="shared" si="68"/>
        <v>250</v>
      </c>
      <c r="W53" s="78">
        <v>250</v>
      </c>
      <c r="X53" s="83">
        <f t="shared" si="69"/>
        <v>208.33333333333331</v>
      </c>
      <c r="Y53" s="79">
        <v>47.69</v>
      </c>
      <c r="Z53" s="83">
        <f t="shared" si="70"/>
        <v>160.64333333333332</v>
      </c>
      <c r="AA53" s="79"/>
      <c r="AB53" s="78">
        <v>0</v>
      </c>
      <c r="AC53" s="58">
        <f t="shared" si="71"/>
        <v>0</v>
      </c>
      <c r="AD53" s="61">
        <v>219</v>
      </c>
      <c r="AE53" s="61">
        <f t="shared" si="72"/>
        <v>-219</v>
      </c>
      <c r="AG53" s="6"/>
    </row>
    <row r="54" spans="1:33" ht="15.6" x14ac:dyDescent="0.25">
      <c r="A54" s="210" t="s">
        <v>75</v>
      </c>
      <c r="B54" s="202"/>
      <c r="C54" s="202"/>
      <c r="D54" s="57">
        <f t="shared" si="62"/>
        <v>-50</v>
      </c>
      <c r="E54" s="346">
        <v>250</v>
      </c>
      <c r="F54" s="393"/>
      <c r="G54" s="210"/>
      <c r="H54" s="57">
        <f t="shared" si="63"/>
        <v>-300</v>
      </c>
      <c r="I54" s="311">
        <v>300</v>
      </c>
      <c r="J54" s="83">
        <f>I54/12*Summary!$H$30</f>
        <v>250</v>
      </c>
      <c r="K54" s="260">
        <v>232</v>
      </c>
      <c r="L54" s="83">
        <f t="shared" si="64"/>
        <v>18</v>
      </c>
      <c r="O54" s="57">
        <f t="shared" si="65"/>
        <v>0</v>
      </c>
      <c r="P54" s="78">
        <v>600</v>
      </c>
      <c r="Q54" s="83">
        <f t="shared" si="66"/>
        <v>600</v>
      </c>
      <c r="R54" s="201">
        <v>65</v>
      </c>
      <c r="S54" s="83">
        <f t="shared" si="67"/>
        <v>535</v>
      </c>
      <c r="T54" s="79"/>
      <c r="U54" s="79"/>
      <c r="V54" s="59">
        <f t="shared" si="68"/>
        <v>0</v>
      </c>
      <c r="W54" s="78">
        <v>600</v>
      </c>
      <c r="X54" s="83">
        <f t="shared" si="69"/>
        <v>500</v>
      </c>
      <c r="Y54" s="79">
        <v>587.12</v>
      </c>
      <c r="Z54" s="83">
        <f t="shared" si="70"/>
        <v>-87.12</v>
      </c>
      <c r="AA54" s="79"/>
      <c r="AB54" s="78">
        <v>600</v>
      </c>
      <c r="AC54" s="58">
        <f t="shared" si="71"/>
        <v>500</v>
      </c>
      <c r="AD54" s="61">
        <v>76</v>
      </c>
      <c r="AE54" s="61">
        <f t="shared" si="72"/>
        <v>424</v>
      </c>
    </row>
    <row r="55" spans="1:33" ht="15.6" x14ac:dyDescent="0.25">
      <c r="A55" s="210" t="s">
        <v>114</v>
      </c>
      <c r="B55" s="202"/>
      <c r="C55" s="202"/>
      <c r="D55" s="57">
        <f t="shared" si="62"/>
        <v>-50</v>
      </c>
      <c r="E55" s="346">
        <v>150</v>
      </c>
      <c r="F55" s="393"/>
      <c r="G55" s="210"/>
      <c r="H55" s="57">
        <f t="shared" si="63"/>
        <v>0</v>
      </c>
      <c r="I55" s="311">
        <v>200</v>
      </c>
      <c r="J55" s="83">
        <f>I55/12*Summary!$H$30</f>
        <v>166.66666666666669</v>
      </c>
      <c r="K55" s="260">
        <v>44</v>
      </c>
      <c r="L55" s="83">
        <f>J55-K55</f>
        <v>122.66666666666669</v>
      </c>
      <c r="O55" s="57">
        <f t="shared" si="65"/>
        <v>0</v>
      </c>
      <c r="P55" s="78">
        <v>200</v>
      </c>
      <c r="Q55" s="83">
        <f t="shared" si="66"/>
        <v>200</v>
      </c>
      <c r="R55" s="201">
        <v>1105</v>
      </c>
      <c r="S55" s="83">
        <f>Q55-R55</f>
        <v>-905</v>
      </c>
      <c r="T55" s="79"/>
      <c r="U55" s="79"/>
      <c r="V55" s="59">
        <f>W55-AB55</f>
        <v>0</v>
      </c>
      <c r="W55" s="78">
        <v>200</v>
      </c>
      <c r="X55" s="83">
        <f>W55/12*10</f>
        <v>166.66666666666669</v>
      </c>
      <c r="Y55" s="79">
        <v>83.79</v>
      </c>
      <c r="Z55" s="83">
        <f>X55-Y55</f>
        <v>82.876666666666679</v>
      </c>
      <c r="AA55" s="79"/>
      <c r="AB55" s="78">
        <v>200</v>
      </c>
      <c r="AC55" s="58">
        <f>AB55/12*10</f>
        <v>166.66666666666669</v>
      </c>
      <c r="AD55" s="61">
        <v>10</v>
      </c>
      <c r="AE55" s="61">
        <f>AC55-AD55</f>
        <v>156.66666666666669</v>
      </c>
    </row>
    <row r="56" spans="1:33" ht="15.6" x14ac:dyDescent="0.25">
      <c r="A56" s="210" t="s">
        <v>194</v>
      </c>
      <c r="B56" s="202"/>
      <c r="C56" s="202"/>
      <c r="D56" s="57">
        <f>E56-I56</f>
        <v>550</v>
      </c>
      <c r="E56" s="390">
        <v>750</v>
      </c>
      <c r="F56" s="327"/>
      <c r="G56" s="210"/>
      <c r="H56" s="57">
        <f>I56-P56</f>
        <v>200</v>
      </c>
      <c r="I56" s="311">
        <v>200</v>
      </c>
      <c r="J56" s="83">
        <f>I56/12*Summary!$H$30</f>
        <v>166.66666666666669</v>
      </c>
      <c r="K56" s="260">
        <v>0</v>
      </c>
      <c r="L56" s="83">
        <f>J56-K56</f>
        <v>166.66666666666669</v>
      </c>
      <c r="O56" s="57">
        <f>P56-W56</f>
        <v>-50</v>
      </c>
      <c r="P56" s="78">
        <v>0</v>
      </c>
      <c r="Q56" s="83">
        <f t="shared" si="66"/>
        <v>0</v>
      </c>
      <c r="R56" s="201">
        <v>107</v>
      </c>
      <c r="S56" s="83">
        <f>Q56-R56</f>
        <v>-107</v>
      </c>
      <c r="T56" s="79"/>
      <c r="U56" s="79"/>
      <c r="V56" s="59">
        <f>W56-AB56</f>
        <v>50</v>
      </c>
      <c r="W56" s="78">
        <v>50</v>
      </c>
      <c r="X56" s="83">
        <f>W56/12*10</f>
        <v>41.666666666666671</v>
      </c>
      <c r="Y56" s="79">
        <v>0</v>
      </c>
      <c r="Z56" s="83">
        <f>X56-Y56</f>
        <v>41.666666666666671</v>
      </c>
      <c r="AA56" s="79"/>
      <c r="AB56" s="78">
        <v>0</v>
      </c>
      <c r="AC56" s="58">
        <f>AB56/12*10</f>
        <v>0</v>
      </c>
      <c r="AD56" s="61">
        <v>47</v>
      </c>
      <c r="AE56" s="61">
        <f>AC56-AD56</f>
        <v>-47</v>
      </c>
    </row>
    <row r="57" spans="1:33" ht="14.4" customHeight="1" x14ac:dyDescent="0.25">
      <c r="A57" s="210" t="s">
        <v>113</v>
      </c>
      <c r="B57" s="202"/>
      <c r="C57" s="202"/>
      <c r="D57" s="57">
        <f t="shared" si="62"/>
        <v>250</v>
      </c>
      <c r="E57" s="346">
        <v>3300</v>
      </c>
      <c r="F57" s="393"/>
      <c r="G57" s="210"/>
      <c r="H57" s="57">
        <f t="shared" si="63"/>
        <v>150</v>
      </c>
      <c r="I57" s="311">
        <v>3050</v>
      </c>
      <c r="J57" s="83">
        <f>I57/12*Summary!$H$30</f>
        <v>2541.6666666666665</v>
      </c>
      <c r="K57" s="260">
        <v>2714</v>
      </c>
      <c r="L57" s="83">
        <f t="shared" si="64"/>
        <v>-172.33333333333348</v>
      </c>
      <c r="O57" s="57">
        <f t="shared" si="65"/>
        <v>700</v>
      </c>
      <c r="P57" s="78">
        <v>2900</v>
      </c>
      <c r="Q57" s="83">
        <f t="shared" si="66"/>
        <v>2900</v>
      </c>
      <c r="R57" s="201">
        <v>3293</v>
      </c>
      <c r="S57" s="83">
        <f t="shared" si="67"/>
        <v>-393</v>
      </c>
      <c r="T57" s="79"/>
      <c r="U57" s="79"/>
      <c r="V57" s="59">
        <f t="shared" si="68"/>
        <v>800</v>
      </c>
      <c r="W57" s="78">
        <v>2200</v>
      </c>
      <c r="X57" s="83">
        <f t="shared" si="69"/>
        <v>1833.3333333333335</v>
      </c>
      <c r="Y57" s="79">
        <v>2127.5</v>
      </c>
      <c r="Z57" s="83">
        <f t="shared" si="70"/>
        <v>-294.16666666666652</v>
      </c>
      <c r="AA57" s="79"/>
      <c r="AB57" s="78">
        <v>1400</v>
      </c>
      <c r="AC57" s="58">
        <f t="shared" si="71"/>
        <v>1166.6666666666667</v>
      </c>
      <c r="AD57" s="61">
        <v>1411</v>
      </c>
      <c r="AE57" s="61">
        <f t="shared" si="72"/>
        <v>-244.33333333333326</v>
      </c>
    </row>
    <row r="58" spans="1:33" ht="0.6" customHeight="1" x14ac:dyDescent="0.25">
      <c r="A58" s="210" t="s">
        <v>110</v>
      </c>
      <c r="B58" s="202"/>
      <c r="C58" s="202"/>
      <c r="D58" s="57">
        <f t="shared" si="62"/>
        <v>0</v>
      </c>
      <c r="E58" s="346">
        <v>0</v>
      </c>
      <c r="F58" s="393"/>
      <c r="G58" s="210"/>
      <c r="H58" s="57">
        <f t="shared" si="63"/>
        <v>0</v>
      </c>
      <c r="J58" s="83">
        <f>I58/12*Summary!$H$30</f>
        <v>0</v>
      </c>
      <c r="K58" s="260"/>
      <c r="L58" s="83">
        <f t="shared" si="64"/>
        <v>0</v>
      </c>
      <c r="O58" s="57">
        <f t="shared" ref="O58" si="73">P58-W58</f>
        <v>-50</v>
      </c>
      <c r="P58" s="78">
        <v>0</v>
      </c>
      <c r="Q58" s="450">
        <f t="shared" ref="Q58" si="74">P58/12*10</f>
        <v>0</v>
      </c>
      <c r="R58" s="451"/>
      <c r="S58" s="450">
        <f t="shared" ref="S58" si="75">Q58-R58</f>
        <v>0</v>
      </c>
      <c r="T58" s="79"/>
      <c r="U58" s="79"/>
      <c r="V58" s="59">
        <f t="shared" ref="V58" si="76">W58-AB58</f>
        <v>50</v>
      </c>
      <c r="W58" s="78">
        <v>50</v>
      </c>
      <c r="X58" s="83">
        <f t="shared" ref="X58" si="77">W58/12*10</f>
        <v>41.666666666666671</v>
      </c>
      <c r="Y58" s="79">
        <v>0</v>
      </c>
      <c r="Z58" s="83">
        <f t="shared" ref="Z58" si="78">X58-Y58</f>
        <v>41.666666666666671</v>
      </c>
      <c r="AA58" s="79"/>
      <c r="AB58" s="78">
        <v>0</v>
      </c>
      <c r="AC58" s="58">
        <f t="shared" ref="AC58" si="79">AB58/12*10</f>
        <v>0</v>
      </c>
      <c r="AD58" s="61">
        <v>47</v>
      </c>
      <c r="AE58" s="61">
        <f t="shared" ref="AE58" si="80">AC58-AD58</f>
        <v>-47</v>
      </c>
    </row>
    <row r="59" spans="1:33" x14ac:dyDescent="0.25">
      <c r="A59" s="210"/>
      <c r="B59" s="202"/>
      <c r="C59" s="202"/>
      <c r="G59" s="210"/>
      <c r="H59" s="77"/>
      <c r="O59" s="77"/>
      <c r="P59" s="78"/>
      <c r="Q59" s="79"/>
      <c r="R59" s="201"/>
      <c r="S59" s="79"/>
      <c r="T59" s="79"/>
      <c r="U59" s="79"/>
      <c r="V59" s="77"/>
      <c r="W59" s="78"/>
      <c r="X59" s="79"/>
      <c r="Y59" s="79"/>
      <c r="Z59" s="79"/>
      <c r="AA59" s="79"/>
      <c r="AB59" s="78"/>
      <c r="AC59" s="79"/>
      <c r="AD59" s="79"/>
      <c r="AE59" s="79"/>
    </row>
    <row r="60" spans="1:33" ht="15" thickBot="1" x14ac:dyDescent="0.3">
      <c r="A60" s="174" t="s">
        <v>146</v>
      </c>
      <c r="B60" s="202"/>
      <c r="C60" s="202"/>
      <c r="D60" s="206">
        <f>SUM(D49:D59)</f>
        <v>450</v>
      </c>
      <c r="E60" s="98">
        <f>SUM(E49:E59)</f>
        <v>5800</v>
      </c>
      <c r="F60" s="323"/>
      <c r="G60" s="208"/>
      <c r="H60" s="206">
        <f>SUM(H49:H59)</f>
        <v>-50</v>
      </c>
      <c r="I60" s="330">
        <f>SUM(I49:I59)</f>
        <v>5350</v>
      </c>
      <c r="J60" s="207">
        <f>SUM(J49:J59)</f>
        <v>4458.3333333333339</v>
      </c>
      <c r="K60" s="207">
        <f>SUM(K49:K59)</f>
        <v>3780</v>
      </c>
      <c r="L60" s="207">
        <f>SUM(L49:L59)</f>
        <v>678.33333333333348</v>
      </c>
      <c r="M60" s="128"/>
      <c r="N60" s="128"/>
      <c r="O60" s="206">
        <f>SUM(O49:O59)</f>
        <v>-150</v>
      </c>
      <c r="P60" s="98">
        <f>SUM(P49:P59)</f>
        <v>5400</v>
      </c>
      <c r="Q60" s="207">
        <f>SUM(Q49:Q59)</f>
        <v>5400</v>
      </c>
      <c r="R60" s="391">
        <f>SUM(R49:R59)</f>
        <v>6588</v>
      </c>
      <c r="S60" s="207">
        <f>SUM(S49:S59)</f>
        <v>-1188</v>
      </c>
      <c r="T60" s="79"/>
      <c r="U60" s="79"/>
      <c r="V60" s="206">
        <f>SUM(V49:V59)</f>
        <v>1770</v>
      </c>
      <c r="W60" s="98">
        <f>SUM(W49:W59)</f>
        <v>5550</v>
      </c>
      <c r="X60" s="207">
        <f>SUM(X49:X59)</f>
        <v>4625</v>
      </c>
      <c r="Y60" s="207">
        <f>SUM(Y49:Y59)</f>
        <v>4068.5</v>
      </c>
      <c r="Z60" s="207">
        <f>SUM(Z49:Z59)</f>
        <v>556.5</v>
      </c>
      <c r="AA60" s="79"/>
      <c r="AB60" s="98">
        <f>SUM(AB49:AB59)</f>
        <v>3780</v>
      </c>
      <c r="AC60" s="207">
        <f>SUM(AC49:AC59)</f>
        <v>3150</v>
      </c>
      <c r="AD60" s="207">
        <f>SUM(AD49:AD59)</f>
        <v>3701</v>
      </c>
      <c r="AE60" s="207">
        <f>SUM(AE49:AE59)</f>
        <v>-551</v>
      </c>
    </row>
    <row r="61" spans="1:33" x14ac:dyDescent="0.25">
      <c r="A61" s="1"/>
      <c r="B61" s="202"/>
      <c r="C61" s="202"/>
      <c r="D61" s="77"/>
      <c r="E61" s="78"/>
      <c r="F61" s="327"/>
      <c r="G61" s="1"/>
      <c r="H61" s="77"/>
      <c r="J61" s="79"/>
      <c r="K61" s="79"/>
      <c r="L61" s="79"/>
      <c r="O61" s="77"/>
      <c r="P61" s="128"/>
      <c r="Q61" s="79"/>
      <c r="R61" s="201"/>
      <c r="S61" s="79"/>
      <c r="T61" s="79"/>
      <c r="U61" s="79"/>
      <c r="V61" s="77"/>
      <c r="W61" s="128"/>
      <c r="X61" s="79"/>
      <c r="Y61" s="79"/>
      <c r="Z61" s="79"/>
      <c r="AA61" s="79"/>
      <c r="AB61" s="128"/>
      <c r="AC61" s="79"/>
      <c r="AD61" s="79"/>
      <c r="AE61" s="79"/>
    </row>
    <row r="62" spans="1:33" x14ac:dyDescent="0.25">
      <c r="A62" s="2" t="s">
        <v>81</v>
      </c>
      <c r="B62" s="202"/>
      <c r="C62" s="202"/>
      <c r="D62" s="77"/>
      <c r="E62" s="78"/>
      <c r="F62" s="327"/>
      <c r="G62" s="2"/>
      <c r="H62" s="77"/>
      <c r="J62" s="79"/>
      <c r="K62" s="79"/>
      <c r="L62" s="79"/>
      <c r="O62" s="77"/>
      <c r="P62" s="78"/>
      <c r="Q62" s="79"/>
      <c r="R62" s="201"/>
      <c r="S62" s="79"/>
      <c r="T62" s="79"/>
      <c r="U62" s="79"/>
      <c r="V62" s="77"/>
      <c r="W62" s="78"/>
      <c r="X62" s="79"/>
      <c r="Y62" s="79"/>
      <c r="Z62" s="79"/>
      <c r="AA62" s="79"/>
      <c r="AB62" s="78"/>
      <c r="AC62" s="79"/>
      <c r="AD62" s="79"/>
      <c r="AE62" s="79"/>
    </row>
    <row r="63" spans="1:33" ht="15.6" x14ac:dyDescent="0.25">
      <c r="A63" s="1" t="s">
        <v>82</v>
      </c>
      <c r="B63" s="202"/>
      <c r="C63" s="202"/>
      <c r="D63" s="57">
        <f t="shared" ref="D63:D68" si="81">E63-I63</f>
        <v>-413</v>
      </c>
      <c r="E63" s="390">
        <v>2100</v>
      </c>
      <c r="F63" s="327"/>
      <c r="G63" s="1"/>
      <c r="H63" s="57">
        <f t="shared" ref="H63:H68" si="82">I63-P63</f>
        <v>13</v>
      </c>
      <c r="I63" s="311">
        <v>2513</v>
      </c>
      <c r="J63" s="83">
        <f>I63/12*Summary!$H$30</f>
        <v>2094.1666666666665</v>
      </c>
      <c r="K63" s="260">
        <v>2113</v>
      </c>
      <c r="L63" s="83">
        <f t="shared" ref="L63:L68" si="83">J63-K63</f>
        <v>-18.833333333333485</v>
      </c>
      <c r="O63" s="57">
        <f t="shared" ref="O63:O68" si="84">P63-W63</f>
        <v>0</v>
      </c>
      <c r="P63" s="78">
        <v>2500</v>
      </c>
      <c r="Q63" s="83">
        <f t="shared" ref="Q63:Q70" si="85">P63</f>
        <v>2500</v>
      </c>
      <c r="R63" s="201">
        <v>2100</v>
      </c>
      <c r="S63" s="83">
        <f t="shared" ref="S63:S68" si="86">Q63-R63</f>
        <v>400</v>
      </c>
      <c r="T63" s="79"/>
      <c r="U63" s="79"/>
      <c r="V63" s="59">
        <f t="shared" ref="V63:V68" si="87">W63-AB63</f>
        <v>-11000</v>
      </c>
      <c r="W63" s="78">
        <v>2500</v>
      </c>
      <c r="X63" s="83">
        <f t="shared" ref="X63:X68" si="88">W63/12*10</f>
        <v>2083.3333333333335</v>
      </c>
      <c r="Y63" s="79">
        <v>121</v>
      </c>
      <c r="Z63" s="83">
        <f t="shared" ref="Z63:Z68" si="89">X63-Y63</f>
        <v>1962.3333333333335</v>
      </c>
      <c r="AA63" s="79"/>
      <c r="AB63" s="204">
        <v>13500</v>
      </c>
      <c r="AC63" s="58">
        <f t="shared" ref="AC63:AC68" si="90">AB63/12*10</f>
        <v>11250</v>
      </c>
      <c r="AD63" s="61">
        <v>6655</v>
      </c>
      <c r="AE63" s="61">
        <f t="shared" ref="AE63:AE68" si="91">AC63-AD63</f>
        <v>4595</v>
      </c>
    </row>
    <row r="64" spans="1:33" ht="15.6" x14ac:dyDescent="0.25">
      <c r="A64" s="1" t="s">
        <v>115</v>
      </c>
      <c r="B64" s="202"/>
      <c r="C64" s="202"/>
      <c r="D64" s="57">
        <f t="shared" si="81"/>
        <v>300</v>
      </c>
      <c r="E64" s="390">
        <v>500</v>
      </c>
      <c r="F64" s="327"/>
      <c r="G64" s="1"/>
      <c r="H64" s="57">
        <f t="shared" si="82"/>
        <v>-450</v>
      </c>
      <c r="I64" s="311">
        <v>200</v>
      </c>
      <c r="J64" s="83">
        <f>I64/12*Summary!$H$30</f>
        <v>166.66666666666669</v>
      </c>
      <c r="K64" s="260">
        <v>681</v>
      </c>
      <c r="L64" s="83">
        <f t="shared" si="83"/>
        <v>-514.33333333333326</v>
      </c>
      <c r="O64" s="57">
        <f t="shared" si="84"/>
        <v>530</v>
      </c>
      <c r="P64" s="78">
        <v>650</v>
      </c>
      <c r="Q64" s="83">
        <f t="shared" si="85"/>
        <v>650</v>
      </c>
      <c r="R64" s="201">
        <v>1346</v>
      </c>
      <c r="S64" s="83">
        <f t="shared" si="86"/>
        <v>-696</v>
      </c>
      <c r="T64" s="79"/>
      <c r="U64" s="79"/>
      <c r="V64" s="59">
        <f t="shared" si="87"/>
        <v>-2380</v>
      </c>
      <c r="W64" s="78">
        <v>120</v>
      </c>
      <c r="X64" s="83">
        <f t="shared" si="88"/>
        <v>100</v>
      </c>
      <c r="Y64" s="79">
        <v>821.21</v>
      </c>
      <c r="Z64" s="83">
        <f t="shared" si="89"/>
        <v>-721.21</v>
      </c>
      <c r="AA64" s="79"/>
      <c r="AB64" s="78">
        <v>2500</v>
      </c>
      <c r="AC64" s="58">
        <f t="shared" si="90"/>
        <v>2083.3333333333335</v>
      </c>
      <c r="AD64" s="61">
        <v>3394</v>
      </c>
      <c r="AE64" s="61">
        <f t="shared" si="91"/>
        <v>-1310.6666666666665</v>
      </c>
    </row>
    <row r="65" spans="1:38" ht="15.6" x14ac:dyDescent="0.25">
      <c r="A65" s="1" t="s">
        <v>83</v>
      </c>
      <c r="B65" s="202"/>
      <c r="C65" s="202"/>
      <c r="D65" s="57">
        <f t="shared" si="81"/>
        <v>0</v>
      </c>
      <c r="E65" s="346">
        <v>1500</v>
      </c>
      <c r="F65" s="393"/>
      <c r="G65" s="1"/>
      <c r="H65" s="57">
        <f t="shared" si="82"/>
        <v>0</v>
      </c>
      <c r="I65" s="311">
        <v>1500</v>
      </c>
      <c r="J65" s="83">
        <f>I65/12*Summary!$H$30</f>
        <v>1250</v>
      </c>
      <c r="K65" s="260">
        <v>35</v>
      </c>
      <c r="L65" s="83">
        <f t="shared" si="83"/>
        <v>1215</v>
      </c>
      <c r="O65" s="57">
        <f t="shared" si="84"/>
        <v>0</v>
      </c>
      <c r="P65" s="78">
        <v>1500</v>
      </c>
      <c r="Q65" s="83">
        <f t="shared" si="85"/>
        <v>1500</v>
      </c>
      <c r="R65" s="201">
        <v>597</v>
      </c>
      <c r="S65" s="83">
        <f t="shared" si="86"/>
        <v>903</v>
      </c>
      <c r="T65" s="79"/>
      <c r="U65" s="79"/>
      <c r="V65" s="59">
        <f t="shared" si="87"/>
        <v>0</v>
      </c>
      <c r="W65" s="78">
        <v>1500</v>
      </c>
      <c r="X65" s="83">
        <f t="shared" si="88"/>
        <v>1250</v>
      </c>
      <c r="Y65" s="79">
        <v>483</v>
      </c>
      <c r="Z65" s="83">
        <f t="shared" si="89"/>
        <v>767</v>
      </c>
      <c r="AA65" s="79"/>
      <c r="AB65" s="204">
        <v>1500</v>
      </c>
      <c r="AC65" s="58">
        <f t="shared" si="90"/>
        <v>1250</v>
      </c>
      <c r="AD65" s="61">
        <v>1725</v>
      </c>
      <c r="AE65" s="61">
        <f t="shared" si="91"/>
        <v>-475</v>
      </c>
    </row>
    <row r="66" spans="1:38" ht="15.6" x14ac:dyDescent="0.25">
      <c r="A66" s="1" t="s">
        <v>84</v>
      </c>
      <c r="B66" s="202"/>
      <c r="C66" s="202"/>
      <c r="D66" s="57">
        <f t="shared" si="81"/>
        <v>0</v>
      </c>
      <c r="E66" s="390">
        <v>0</v>
      </c>
      <c r="F66" s="327"/>
      <c r="G66" s="1"/>
      <c r="H66" s="57">
        <f t="shared" si="82"/>
        <v>0</v>
      </c>
      <c r="I66" s="311">
        <v>0</v>
      </c>
      <c r="J66" s="83">
        <f>I66/12*Summary!$H$30</f>
        <v>0</v>
      </c>
      <c r="K66" s="260">
        <v>0</v>
      </c>
      <c r="L66" s="83">
        <f t="shared" si="83"/>
        <v>0</v>
      </c>
      <c r="O66" s="57">
        <f t="shared" si="84"/>
        <v>0</v>
      </c>
      <c r="P66" s="78">
        <v>0</v>
      </c>
      <c r="Q66" s="83">
        <f t="shared" si="85"/>
        <v>0</v>
      </c>
      <c r="R66" s="201">
        <v>0</v>
      </c>
      <c r="S66" s="83">
        <f t="shared" si="86"/>
        <v>0</v>
      </c>
      <c r="T66" s="79"/>
      <c r="U66" s="79"/>
      <c r="V66" s="59">
        <f t="shared" si="87"/>
        <v>-3000</v>
      </c>
      <c r="W66" s="78">
        <v>0</v>
      </c>
      <c r="X66" s="83">
        <f t="shared" si="88"/>
        <v>0</v>
      </c>
      <c r="Y66" s="79">
        <v>0</v>
      </c>
      <c r="Z66" s="83">
        <f t="shared" si="89"/>
        <v>0</v>
      </c>
      <c r="AA66" s="79"/>
      <c r="AB66" s="78">
        <v>3000</v>
      </c>
      <c r="AC66" s="58">
        <f t="shared" si="90"/>
        <v>2500</v>
      </c>
      <c r="AD66" s="61">
        <v>0</v>
      </c>
      <c r="AE66" s="61">
        <f t="shared" si="91"/>
        <v>2500</v>
      </c>
    </row>
    <row r="67" spans="1:38" ht="15.6" x14ac:dyDescent="0.25">
      <c r="A67" s="210" t="s">
        <v>19</v>
      </c>
      <c r="B67" s="202"/>
      <c r="C67" s="202"/>
      <c r="D67" s="57">
        <f t="shared" si="81"/>
        <v>-50</v>
      </c>
      <c r="E67" s="346">
        <v>150</v>
      </c>
      <c r="F67" s="393"/>
      <c r="G67" s="210"/>
      <c r="H67" s="57">
        <f t="shared" si="82"/>
        <v>0</v>
      </c>
      <c r="I67" s="311">
        <v>200</v>
      </c>
      <c r="J67" s="83">
        <f>I67/12*Summary!$H$30</f>
        <v>166.66666666666669</v>
      </c>
      <c r="K67" s="260">
        <v>101</v>
      </c>
      <c r="L67" s="83">
        <f t="shared" si="83"/>
        <v>65.666666666666686</v>
      </c>
      <c r="O67" s="57">
        <f t="shared" si="84"/>
        <v>0</v>
      </c>
      <c r="P67" s="78">
        <v>200</v>
      </c>
      <c r="Q67" s="83">
        <f t="shared" si="85"/>
        <v>200</v>
      </c>
      <c r="R67" s="201">
        <v>180</v>
      </c>
      <c r="S67" s="83">
        <f t="shared" si="86"/>
        <v>20</v>
      </c>
      <c r="T67" s="79"/>
      <c r="U67" s="79"/>
      <c r="V67" s="59">
        <f t="shared" si="87"/>
        <v>200</v>
      </c>
      <c r="W67" s="78">
        <v>200</v>
      </c>
      <c r="X67" s="83">
        <f t="shared" si="88"/>
        <v>166.66666666666669</v>
      </c>
      <c r="Y67" s="79">
        <v>179.3</v>
      </c>
      <c r="Z67" s="83">
        <f t="shared" si="89"/>
        <v>-12.633333333333326</v>
      </c>
      <c r="AA67" s="79"/>
      <c r="AB67" s="78">
        <v>0</v>
      </c>
      <c r="AC67" s="58">
        <f t="shared" si="90"/>
        <v>0</v>
      </c>
      <c r="AD67" s="61">
        <v>87</v>
      </c>
      <c r="AE67" s="61">
        <f t="shared" si="91"/>
        <v>-87</v>
      </c>
    </row>
    <row r="68" spans="1:38" ht="15.6" hidden="1" x14ac:dyDescent="0.25">
      <c r="A68" s="210" t="s">
        <v>85</v>
      </c>
      <c r="B68" s="202"/>
      <c r="C68" s="202"/>
      <c r="D68" s="57">
        <f t="shared" si="81"/>
        <v>0</v>
      </c>
      <c r="E68" s="346">
        <v>0</v>
      </c>
      <c r="F68" s="393"/>
      <c r="G68" s="210"/>
      <c r="H68" s="57">
        <f t="shared" si="82"/>
        <v>0</v>
      </c>
      <c r="I68" s="311">
        <v>0</v>
      </c>
      <c r="J68" s="83">
        <f>I68/12*Summary!$H$30</f>
        <v>0</v>
      </c>
      <c r="K68" s="260"/>
      <c r="L68" s="83">
        <f t="shared" si="83"/>
        <v>0</v>
      </c>
      <c r="O68" s="57">
        <f t="shared" si="84"/>
        <v>0</v>
      </c>
      <c r="P68" s="78">
        <v>0</v>
      </c>
      <c r="Q68" s="83">
        <f t="shared" si="85"/>
        <v>0</v>
      </c>
      <c r="R68" s="201">
        <v>0</v>
      </c>
      <c r="S68" s="83">
        <f t="shared" si="86"/>
        <v>0</v>
      </c>
      <c r="T68" s="79"/>
      <c r="U68" s="79"/>
      <c r="V68" s="59">
        <f t="shared" si="87"/>
        <v>0</v>
      </c>
      <c r="W68" s="78">
        <v>0</v>
      </c>
      <c r="X68" s="83">
        <f t="shared" si="88"/>
        <v>0</v>
      </c>
      <c r="Y68" s="79">
        <v>0</v>
      </c>
      <c r="Z68" s="83">
        <f t="shared" si="89"/>
        <v>0</v>
      </c>
      <c r="AA68" s="79"/>
      <c r="AB68" s="78">
        <v>0</v>
      </c>
      <c r="AC68" s="58">
        <f t="shared" si="90"/>
        <v>0</v>
      </c>
      <c r="AD68" s="61">
        <v>0</v>
      </c>
      <c r="AE68" s="61">
        <f t="shared" si="91"/>
        <v>0</v>
      </c>
    </row>
    <row r="69" spans="1:38" ht="15.6" x14ac:dyDescent="0.25">
      <c r="A69" s="1" t="s">
        <v>99</v>
      </c>
      <c r="B69" s="202"/>
      <c r="C69" s="202"/>
      <c r="D69" s="57">
        <f t="shared" ref="D69" si="92">E69-I69</f>
        <v>171</v>
      </c>
      <c r="E69" s="346">
        <v>405</v>
      </c>
      <c r="F69" s="393"/>
      <c r="G69" s="1"/>
      <c r="H69" s="57">
        <f t="shared" ref="H69" si="93">I69-P69</f>
        <v>54</v>
      </c>
      <c r="I69" s="311">
        <v>234</v>
      </c>
      <c r="J69" s="83">
        <f>I69/12*Summary!$H$30</f>
        <v>195</v>
      </c>
      <c r="K69" s="260">
        <v>0</v>
      </c>
      <c r="L69" s="83">
        <f t="shared" ref="L69" si="94">J69-K69</f>
        <v>195</v>
      </c>
      <c r="O69" s="57">
        <f t="shared" ref="O69" si="95">P69-W69</f>
        <v>0</v>
      </c>
      <c r="P69" s="78">
        <v>180</v>
      </c>
      <c r="Q69" s="83">
        <f t="shared" si="85"/>
        <v>180</v>
      </c>
      <c r="R69" s="201">
        <v>0</v>
      </c>
      <c r="S69" s="83">
        <f t="shared" ref="S69" si="96">Q69-R69</f>
        <v>180</v>
      </c>
      <c r="T69" s="79"/>
      <c r="U69" s="79"/>
      <c r="V69" s="59">
        <f t="shared" ref="V69" si="97">W69-AB69</f>
        <v>0</v>
      </c>
      <c r="W69" s="78">
        <v>180</v>
      </c>
      <c r="X69" s="83">
        <f t="shared" ref="X69" si="98">W69/12*10</f>
        <v>150</v>
      </c>
      <c r="Y69" s="79">
        <v>180</v>
      </c>
      <c r="Z69" s="83">
        <f t="shared" ref="Z69" si="99">X69-Y69</f>
        <v>-30</v>
      </c>
      <c r="AA69" s="79"/>
      <c r="AB69" s="78">
        <v>180</v>
      </c>
      <c r="AC69" s="58">
        <f t="shared" ref="AC69" si="100">AB69/12*10</f>
        <v>150</v>
      </c>
      <c r="AD69" s="61">
        <v>180</v>
      </c>
      <c r="AE69" s="61">
        <f t="shared" ref="AE69" si="101">AC69-AD69</f>
        <v>-30</v>
      </c>
    </row>
    <row r="70" spans="1:38" ht="15.6" x14ac:dyDescent="0.25">
      <c r="A70" s="1" t="s">
        <v>108</v>
      </c>
      <c r="B70" s="202"/>
      <c r="C70" s="202"/>
      <c r="D70" s="57">
        <f>E70-I70</f>
        <v>-8860</v>
      </c>
      <c r="E70" s="390">
        <v>500</v>
      </c>
      <c r="F70" s="327"/>
      <c r="G70" s="1"/>
      <c r="H70" s="57">
        <f>I70-P70</f>
        <v>1680</v>
      </c>
      <c r="I70" s="311">
        <v>9360</v>
      </c>
      <c r="J70" s="83">
        <f>I70/12*Summary!$H$30</f>
        <v>7800</v>
      </c>
      <c r="K70" s="260">
        <v>8560</v>
      </c>
      <c r="L70" s="83">
        <f>J70-K70</f>
        <v>-760</v>
      </c>
      <c r="O70" s="57">
        <f>P70-W70</f>
        <v>1920</v>
      </c>
      <c r="P70" s="78">
        <v>7680</v>
      </c>
      <c r="Q70" s="83">
        <f t="shared" si="85"/>
        <v>7680</v>
      </c>
      <c r="R70" s="201">
        <v>11431</v>
      </c>
      <c r="S70" s="83">
        <f>Q70-R70</f>
        <v>-3751</v>
      </c>
      <c r="T70" s="79"/>
      <c r="U70" s="79"/>
      <c r="V70" s="59">
        <f>W70-AB70</f>
        <v>5760</v>
      </c>
      <c r="W70" s="78">
        <v>5760</v>
      </c>
      <c r="X70" s="83">
        <f>W70/12*10</f>
        <v>4800</v>
      </c>
      <c r="Y70" s="79">
        <v>9132.33</v>
      </c>
      <c r="Z70" s="83">
        <f>X70-Y70</f>
        <v>-4332.33</v>
      </c>
      <c r="AA70" s="79"/>
      <c r="AB70" s="204">
        <v>0</v>
      </c>
      <c r="AC70" s="58">
        <f>AB70/12*10</f>
        <v>0</v>
      </c>
      <c r="AD70" s="61">
        <v>4315</v>
      </c>
      <c r="AE70" s="61">
        <f>AC70-AD70</f>
        <v>-4315</v>
      </c>
    </row>
    <row r="71" spans="1:38" x14ac:dyDescent="0.25">
      <c r="A71" s="1"/>
      <c r="B71" s="202"/>
      <c r="C71" s="202"/>
      <c r="D71" s="77"/>
      <c r="E71" s="78"/>
      <c r="F71" s="327"/>
      <c r="G71" s="1"/>
      <c r="H71" s="77"/>
      <c r="J71" s="79"/>
      <c r="K71" s="79"/>
      <c r="L71" s="79"/>
      <c r="O71" s="77"/>
      <c r="P71" s="78"/>
      <c r="Q71" s="79"/>
      <c r="R71" s="201"/>
      <c r="S71" s="79"/>
      <c r="T71" s="79"/>
      <c r="U71" s="79"/>
      <c r="V71" s="77"/>
      <c r="W71" s="78"/>
      <c r="X71" s="79"/>
      <c r="Y71" s="79"/>
      <c r="Z71" s="79"/>
      <c r="AA71" s="79"/>
      <c r="AB71" s="78"/>
      <c r="AC71" s="79"/>
      <c r="AD71" s="79"/>
      <c r="AE71" s="79"/>
      <c r="AH71" s="17"/>
    </row>
    <row r="72" spans="1:38" ht="15" thickBot="1" x14ac:dyDescent="0.3">
      <c r="A72" s="174" t="s">
        <v>147</v>
      </c>
      <c r="B72" s="345"/>
      <c r="C72" s="345"/>
      <c r="D72" s="206">
        <f>SUM(D62:D71)</f>
        <v>-8852</v>
      </c>
      <c r="E72" s="98">
        <f>SUM(E62:E71)</f>
        <v>5155</v>
      </c>
      <c r="F72" s="323"/>
      <c r="G72" s="208"/>
      <c r="H72" s="206">
        <f>SUM(H62:H71)</f>
        <v>1297</v>
      </c>
      <c r="I72" s="330">
        <f>SUM(I62:I71)</f>
        <v>14007</v>
      </c>
      <c r="J72" s="207">
        <f>SUM(J62:J71)</f>
        <v>11672.5</v>
      </c>
      <c r="K72" s="207">
        <f>SUM(K62:K71)</f>
        <v>11490</v>
      </c>
      <c r="L72" s="207">
        <f>SUM(L62:L71)</f>
        <v>182.5</v>
      </c>
      <c r="M72" s="128"/>
      <c r="N72" s="128"/>
      <c r="O72" s="206">
        <f>SUM(O62:O71)</f>
        <v>2450</v>
      </c>
      <c r="P72" s="98">
        <f>SUM(P62:P71)</f>
        <v>12710</v>
      </c>
      <c r="Q72" s="207">
        <f>SUM(Q62:Q71)</f>
        <v>12710</v>
      </c>
      <c r="R72" s="391">
        <f>SUM(R62:R71)</f>
        <v>15654</v>
      </c>
      <c r="S72" s="207">
        <f>SUM(S62:S71)</f>
        <v>-2944</v>
      </c>
      <c r="T72" s="79"/>
      <c r="U72" s="79"/>
      <c r="V72" s="206">
        <f>SUM(V62:V71)</f>
        <v>-10420</v>
      </c>
      <c r="W72" s="98">
        <f>SUM(W62:W71)</f>
        <v>10260</v>
      </c>
      <c r="X72" s="207">
        <f>SUM(X62:X71)</f>
        <v>8550</v>
      </c>
      <c r="Y72" s="207">
        <f>SUM(Y62:Y71)</f>
        <v>10916.84</v>
      </c>
      <c r="Z72" s="207">
        <f>SUM(Z62:Z71)</f>
        <v>-2366.8399999999997</v>
      </c>
      <c r="AA72" s="79"/>
      <c r="AB72" s="98">
        <f>SUM(AB62:AB71)</f>
        <v>20680</v>
      </c>
      <c r="AC72" s="207">
        <f>SUM(AC62:AC71)</f>
        <v>17233.333333333336</v>
      </c>
      <c r="AD72" s="207">
        <f>SUM(AD62:AD71)</f>
        <v>16356</v>
      </c>
      <c r="AE72" s="207">
        <f>SUM(AE62:AE71)</f>
        <v>877.33333333333394</v>
      </c>
    </row>
    <row r="73" spans="1:38" ht="15" thickBot="1" x14ac:dyDescent="0.3">
      <c r="A73" s="1"/>
      <c r="B73" s="345"/>
      <c r="C73" s="345"/>
      <c r="D73" s="77"/>
      <c r="E73" s="78"/>
      <c r="F73" s="327"/>
      <c r="G73" s="1"/>
      <c r="H73" s="77"/>
      <c r="J73" s="79"/>
      <c r="K73" s="79"/>
      <c r="L73" s="79"/>
      <c r="O73" s="77"/>
      <c r="P73" s="128"/>
      <c r="Q73" s="79"/>
      <c r="R73" s="199"/>
      <c r="S73" s="79"/>
      <c r="T73" s="79"/>
      <c r="U73" s="79"/>
      <c r="V73" s="77"/>
      <c r="W73" s="211"/>
      <c r="X73" s="79"/>
      <c r="Y73" s="79"/>
      <c r="Z73" s="79"/>
      <c r="AA73" s="79"/>
      <c r="AB73" s="98"/>
      <c r="AC73" s="79"/>
      <c r="AD73" s="79"/>
      <c r="AE73" s="79"/>
    </row>
    <row r="74" spans="1:38" ht="15" thickBot="1" x14ac:dyDescent="0.3">
      <c r="A74" s="174" t="s">
        <v>138</v>
      </c>
      <c r="B74" s="148"/>
      <c r="C74" s="148"/>
      <c r="D74" s="206">
        <f>D15+D28+D35+D47+D60+D72</f>
        <v>8371.3300000000017</v>
      </c>
      <c r="E74" s="98">
        <f>E15+E28+E35+E47+E60+E72</f>
        <v>146570.25</v>
      </c>
      <c r="F74" s="323"/>
      <c r="G74" s="208"/>
      <c r="H74" s="206">
        <f>H15+H28+H35+H47+H60+H72</f>
        <v>3363.7199999999984</v>
      </c>
      <c r="I74" s="330">
        <f>I15+I28+I35+I47+I60+I72</f>
        <v>138198.91999999998</v>
      </c>
      <c r="J74" s="207">
        <f>J15+J28+J35+J47+J60+J72</f>
        <v>115165.76666666666</v>
      </c>
      <c r="K74" s="207">
        <f>K15+K28+K35+K47+K60+K72</f>
        <v>83703</v>
      </c>
      <c r="L74" s="207">
        <f>L15+L28+L35+L47+L60+L72</f>
        <v>31900.766666666666</v>
      </c>
      <c r="M74" s="128"/>
      <c r="N74" s="128"/>
      <c r="O74" s="206">
        <f>O15+O28+O35+O47+O60+O72</f>
        <v>6030.2</v>
      </c>
      <c r="P74" s="98">
        <f>P15+P28+P35+P47+P60+P72</f>
        <v>134835.20000000001</v>
      </c>
      <c r="Q74" s="207">
        <f>Q15+Q28+Q35+Q47+Q60+Q72</f>
        <v>134835.20000000001</v>
      </c>
      <c r="R74" s="391">
        <f>R15+R28+R35+R47+R60+R72</f>
        <v>139556</v>
      </c>
      <c r="S74" s="207">
        <f>S15+S28+S35+S47+S60+S72</f>
        <v>-4720.8</v>
      </c>
      <c r="T74" s="79"/>
      <c r="U74" s="79"/>
      <c r="V74" s="206">
        <f>V15+V28+V35+V47+V60+V72</f>
        <v>10215</v>
      </c>
      <c r="W74" s="98">
        <f>W15+W28+W35+W47+W60+W72</f>
        <v>128805</v>
      </c>
      <c r="X74" s="207">
        <f>X15+X28+X35+X47+X60+X72</f>
        <v>107337.5</v>
      </c>
      <c r="Y74" s="207">
        <f>Y15+Y28+Y35+Y47+Y60+Y72</f>
        <v>101612.18000000001</v>
      </c>
      <c r="Z74" s="207">
        <f>Z15+Z28+Z35+Z47+Z60+Z72</f>
        <v>5725.32</v>
      </c>
      <c r="AA74" s="79"/>
      <c r="AB74" s="98">
        <f>AB15+AB28+AB35+AB47+AB60+AB72</f>
        <v>118590</v>
      </c>
      <c r="AC74" s="207">
        <f>AC15+AC28+AC35+AC47+AC60+AC72</f>
        <v>98825</v>
      </c>
      <c r="AD74" s="207">
        <f>AD15+AD28+AD35+AD47+AD60+AD72</f>
        <v>111749</v>
      </c>
      <c r="AE74" s="207">
        <f>AE15+AE28+AE35+AE47+AE60+AE72</f>
        <v>-12924</v>
      </c>
    </row>
    <row r="75" spans="1:38" x14ac:dyDescent="0.25">
      <c r="A75" s="7"/>
      <c r="B75" s="148"/>
      <c r="C75" s="148"/>
      <c r="D75" s="104"/>
      <c r="E75" s="78"/>
      <c r="F75" s="327"/>
      <c r="G75" s="7"/>
      <c r="H75" s="104"/>
      <c r="I75" s="302"/>
      <c r="J75" s="79"/>
      <c r="K75" s="79"/>
      <c r="L75" s="79"/>
      <c r="M75" s="239"/>
      <c r="N75" s="239"/>
      <c r="O75" s="104"/>
      <c r="P75" s="78"/>
      <c r="Q75" s="79"/>
      <c r="R75" s="199"/>
      <c r="S75" s="79"/>
      <c r="T75" s="79"/>
      <c r="U75" s="79"/>
      <c r="V75" s="77"/>
      <c r="W75" s="78"/>
      <c r="X75" s="79"/>
      <c r="Y75" s="79"/>
      <c r="Z75" s="79"/>
      <c r="AA75" s="79"/>
      <c r="AB75" s="78"/>
      <c r="AC75" s="79"/>
      <c r="AD75" s="79"/>
      <c r="AE75" s="79"/>
    </row>
    <row r="76" spans="1:38" ht="15.6" x14ac:dyDescent="0.25">
      <c r="A76" s="8" t="s">
        <v>96</v>
      </c>
      <c r="B76" s="345"/>
      <c r="C76" s="345"/>
      <c r="D76" s="57">
        <f t="shared" ref="D76" si="102">E76-I76</f>
        <v>10775</v>
      </c>
      <c r="E76" s="78">
        <f>Reserves!E5</f>
        <v>18000</v>
      </c>
      <c r="F76" s="327"/>
      <c r="G76" s="8"/>
      <c r="H76" s="57">
        <f>I76-P76</f>
        <v>-1275</v>
      </c>
      <c r="I76" s="276">
        <v>7225</v>
      </c>
      <c r="J76" s="83">
        <f>I76/12*Summary!$H$30</f>
        <v>6020.8333333333339</v>
      </c>
      <c r="K76" s="371">
        <f>J76</f>
        <v>6020.8333333333339</v>
      </c>
      <c r="L76" s="83">
        <f>J76-K76</f>
        <v>0</v>
      </c>
      <c r="M76" s="240"/>
      <c r="N76" s="240"/>
      <c r="O76" s="57">
        <f>P76-W76</f>
        <v>0</v>
      </c>
      <c r="P76" s="78">
        <v>8500</v>
      </c>
      <c r="Q76" s="83">
        <f t="shared" ref="Q76" si="103">P76</f>
        <v>8500</v>
      </c>
      <c r="R76" s="199">
        <v>8500</v>
      </c>
      <c r="S76" s="83">
        <f>Q76-R76</f>
        <v>0</v>
      </c>
      <c r="T76" s="79"/>
      <c r="U76" s="79"/>
      <c r="V76" s="59">
        <f t="shared" ref="V76" si="104">W76-AB76</f>
        <v>0</v>
      </c>
      <c r="W76" s="78">
        <v>8500</v>
      </c>
      <c r="X76" s="83">
        <f t="shared" ref="X76" si="105">W76/12*10</f>
        <v>7083.3333333333339</v>
      </c>
      <c r="Y76" s="79"/>
      <c r="Z76" s="83">
        <f>X76-Y76</f>
        <v>7083.3333333333339</v>
      </c>
      <c r="AA76" s="79"/>
      <c r="AB76" s="78">
        <v>8500</v>
      </c>
      <c r="AC76" s="58">
        <f t="shared" ref="AC76" si="106">AB76/12*10</f>
        <v>7083.3333333333339</v>
      </c>
      <c r="AD76" s="61">
        <v>6375</v>
      </c>
      <c r="AE76" s="61">
        <f t="shared" ref="AE76" si="107">AC76-AD76</f>
        <v>708.33333333333394</v>
      </c>
      <c r="AG76" s="233" t="s">
        <v>228</v>
      </c>
    </row>
    <row r="77" spans="1:38" x14ac:dyDescent="0.25">
      <c r="A77" s="8"/>
      <c r="B77" s="8"/>
      <c r="C77" s="8"/>
      <c r="D77" s="81"/>
      <c r="E77" s="78"/>
      <c r="F77" s="327"/>
      <c r="G77" s="8"/>
      <c r="H77" s="81"/>
      <c r="I77" s="276"/>
      <c r="J77" s="79"/>
      <c r="K77" s="79"/>
      <c r="L77" s="79"/>
      <c r="M77" s="240"/>
      <c r="N77" s="240"/>
      <c r="O77" s="81"/>
      <c r="P77" s="78"/>
      <c r="Q77" s="79"/>
      <c r="R77" s="201"/>
      <c r="S77" s="79"/>
      <c r="T77" s="79"/>
      <c r="U77" s="79"/>
      <c r="V77" s="77"/>
      <c r="W77" s="78"/>
      <c r="X77" s="79"/>
      <c r="Y77" s="79"/>
      <c r="Z77" s="79"/>
      <c r="AA77" s="79"/>
      <c r="AB77" s="78"/>
      <c r="AC77" s="79"/>
      <c r="AD77" s="79"/>
      <c r="AE77" s="79"/>
    </row>
    <row r="78" spans="1:38" ht="15" thickBot="1" x14ac:dyDescent="0.3">
      <c r="A78" s="174" t="s">
        <v>1</v>
      </c>
      <c r="B78" s="208"/>
      <c r="C78" s="208"/>
      <c r="D78" s="85">
        <f>SUM(D74:D77)</f>
        <v>19146.330000000002</v>
      </c>
      <c r="E78" s="86">
        <f>SUM(E74:E77)</f>
        <v>164570.25</v>
      </c>
      <c r="F78" s="304"/>
      <c r="G78" s="208"/>
      <c r="H78" s="85">
        <f>SUM(H74:H77)</f>
        <v>2088.7199999999984</v>
      </c>
      <c r="I78" s="331">
        <f>SUM(I74:I77)</f>
        <v>145423.91999999998</v>
      </c>
      <c r="J78" s="88">
        <f t="shared" ref="J78:L78" si="108">SUM(J74:J77)</f>
        <v>121186.59999999999</v>
      </c>
      <c r="K78" s="88">
        <f t="shared" si="108"/>
        <v>89723.833333333328</v>
      </c>
      <c r="L78" s="88">
        <f t="shared" si="108"/>
        <v>31900.766666666666</v>
      </c>
      <c r="M78" s="100"/>
      <c r="N78" s="100"/>
      <c r="O78" s="85">
        <f>SUM(O74:O77)</f>
        <v>6030.2</v>
      </c>
      <c r="P78" s="86">
        <f>SUM(P74:P77)</f>
        <v>143335.20000000001</v>
      </c>
      <c r="Q78" s="88">
        <f t="shared" ref="Q78:R78" si="109">SUM(Q74:Q77)</f>
        <v>143335.20000000001</v>
      </c>
      <c r="R78" s="349">
        <f t="shared" si="109"/>
        <v>148056</v>
      </c>
      <c r="S78" s="88">
        <f t="shared" ref="S78" si="110">SUM(S74:S77)</f>
        <v>-4720.8</v>
      </c>
      <c r="T78" s="79"/>
      <c r="U78" s="79"/>
      <c r="V78" s="85">
        <f t="shared" ref="V78:Z78" si="111">SUM(V74:V77)</f>
        <v>10215</v>
      </c>
      <c r="W78" s="86">
        <f t="shared" si="111"/>
        <v>137305</v>
      </c>
      <c r="X78" s="88">
        <f t="shared" si="111"/>
        <v>114420.83333333333</v>
      </c>
      <c r="Y78" s="88">
        <f t="shared" si="111"/>
        <v>101612.18000000001</v>
      </c>
      <c r="Z78" s="88">
        <f t="shared" si="111"/>
        <v>12808.653333333334</v>
      </c>
      <c r="AA78" s="79"/>
      <c r="AB78" s="86">
        <f t="shared" ref="AB78:AE78" si="112">SUM(AB74:AB77)</f>
        <v>127090</v>
      </c>
      <c r="AC78" s="88">
        <f t="shared" si="112"/>
        <v>105908.33333333333</v>
      </c>
      <c r="AD78" s="88">
        <f t="shared" si="112"/>
        <v>118124</v>
      </c>
      <c r="AE78" s="88">
        <f t="shared" si="112"/>
        <v>-12215.666666666666</v>
      </c>
      <c r="AG78" s="155">
        <f>SUM(B78:AF78)</f>
        <v>1725344.553333333</v>
      </c>
      <c r="AH78" s="156" t="s">
        <v>143</v>
      </c>
    </row>
    <row r="79" spans="1:38" x14ac:dyDescent="0.25">
      <c r="D79" s="11"/>
      <c r="E79" s="11"/>
      <c r="F79" s="328"/>
      <c r="G79" s="11"/>
      <c r="H79" s="11"/>
      <c r="I79" s="408"/>
      <c r="J79" s="409"/>
      <c r="K79" s="409"/>
      <c r="L79" s="409"/>
      <c r="M79" s="410"/>
      <c r="N79" s="410"/>
      <c r="O79" s="11"/>
      <c r="P79" s="11"/>
      <c r="Q79" s="410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233" t="str">
        <f>"* "&amp;Summary!$A$26</f>
        <v>* Inflation Factor, CPI to 16th September, 2020</v>
      </c>
      <c r="E80" s="353">
        <f>Summary!$E$26</f>
        <v>5.0000000000000001E-3</v>
      </c>
      <c r="H80" s="436" t="str">
        <f>Summary!$H$26</f>
        <v>October, 2019</v>
      </c>
      <c r="I80" s="353">
        <f>Summary!$I$26</f>
        <v>1.7000000000000001E-2</v>
      </c>
      <c r="M80" s="241"/>
      <c r="N80" s="241"/>
      <c r="O80" s="436" t="str">
        <f>Summary!$O$26</f>
        <v>October, 2018</v>
      </c>
      <c r="P80" s="353">
        <f>Summary!$P$26</f>
        <v>2.4E-2</v>
      </c>
      <c r="Q80" s="241"/>
    </row>
    <row r="81" spans="1:27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233"/>
      <c r="Q81" s="241"/>
      <c r="V81" s="79"/>
      <c r="X81" s="79"/>
    </row>
    <row r="82" spans="1:27" s="12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73"/>
      <c r="Q82" s="273"/>
      <c r="V82" s="177"/>
      <c r="W82" s="87"/>
    </row>
    <row r="83" spans="1:27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27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R84" s="17"/>
    </row>
    <row r="85" spans="1:27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R85" s="17"/>
    </row>
    <row r="86" spans="1:27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AA86" s="17"/>
    </row>
    <row r="87" spans="1:27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T87" s="145"/>
      <c r="U87" s="145"/>
    </row>
    <row r="88" spans="1:27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T88" s="145"/>
      <c r="U88" s="145"/>
    </row>
    <row r="89" spans="1:27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T89" s="145"/>
      <c r="U89" s="145"/>
    </row>
    <row r="90" spans="1:27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S90" s="145"/>
      <c r="T90" s="145"/>
      <c r="U90" s="145"/>
      <c r="V90" s="145"/>
    </row>
    <row r="91" spans="1:27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S91" s="145"/>
      <c r="T91" s="145"/>
      <c r="U91" s="145"/>
      <c r="V91" s="145"/>
    </row>
    <row r="92" spans="1:27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V92" s="17"/>
    </row>
    <row r="93" spans="1:27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V93" s="17"/>
    </row>
    <row r="94" spans="1:27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233"/>
    </row>
    <row r="95" spans="1:27" ht="30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233"/>
    </row>
    <row r="96" spans="1:27" ht="30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233"/>
    </row>
    <row r="97" spans="1:16" ht="30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233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233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233"/>
    </row>
    <row r="100" spans="1:1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233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233"/>
    </row>
    <row r="102" spans="1:16" x14ac:dyDescent="0.25">
      <c r="O102" s="233"/>
      <c r="P102" s="233"/>
    </row>
    <row r="103" spans="1:16" x14ac:dyDescent="0.25">
      <c r="O103" s="233"/>
      <c r="P103" s="233"/>
    </row>
    <row r="104" spans="1:16" x14ac:dyDescent="0.25">
      <c r="O104" s="233"/>
      <c r="P104" s="233"/>
    </row>
    <row r="105" spans="1:16" x14ac:dyDescent="0.25">
      <c r="O105" s="233"/>
      <c r="P105" s="233"/>
    </row>
    <row r="106" spans="1:16" x14ac:dyDescent="0.25">
      <c r="O106" s="233"/>
      <c r="P106" s="233"/>
    </row>
    <row r="107" spans="1:16" x14ac:dyDescent="0.25">
      <c r="O107" s="233"/>
      <c r="P107" s="233"/>
    </row>
    <row r="108" spans="1:16" x14ac:dyDescent="0.25">
      <c r="O108" s="233"/>
      <c r="P108" s="233"/>
    </row>
    <row r="109" spans="1:16" x14ac:dyDescent="0.25">
      <c r="O109" s="233"/>
      <c r="P109" s="233"/>
    </row>
  </sheetData>
  <mergeCells count="17">
    <mergeCell ref="H4:H5"/>
    <mergeCell ref="D3:E3"/>
    <mergeCell ref="D4:D5"/>
    <mergeCell ref="E4:E5"/>
    <mergeCell ref="H3:L3"/>
    <mergeCell ref="I4:J4"/>
    <mergeCell ref="P4:Q4"/>
    <mergeCell ref="Q5:S5"/>
    <mergeCell ref="O3:S3"/>
    <mergeCell ref="AB3:AE3"/>
    <mergeCell ref="O4:O5"/>
    <mergeCell ref="V4:V5"/>
    <mergeCell ref="W4:X4"/>
    <mergeCell ref="AB4:AC4"/>
    <mergeCell ref="X5:Z5"/>
    <mergeCell ref="AC5:AE5"/>
    <mergeCell ref="V3:Z3"/>
  </mergeCells>
  <pageMargins left="0.7" right="0.7" top="0.75" bottom="0.75" header="0.3" footer="0.3"/>
  <pageSetup paperSize="8" scale="5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88"/>
  <sheetViews>
    <sheetView showGridLines="0" zoomScale="80" zoomScaleNormal="80" workbookViewId="0">
      <pane ySplit="5" topLeftCell="A55" activePane="bottomLeft" state="frozen"/>
      <selection activeCell="H32" sqref="H32:I32"/>
      <selection pane="bottomLeft" activeCell="D55" sqref="D55"/>
    </sheetView>
  </sheetViews>
  <sheetFormatPr defaultColWidth="9.109375" defaultRowHeight="14.4" x14ac:dyDescent="0.3"/>
  <cols>
    <col min="1" max="1" width="59" style="30" bestFit="1" customWidth="1"/>
    <col min="2" max="2" width="1.6640625" style="30" bestFit="1" customWidth="1"/>
    <col min="3" max="3" width="1.6640625" style="30" customWidth="1"/>
    <col min="4" max="4" width="29.88671875" style="30" bestFit="1" customWidth="1"/>
    <col min="5" max="5" width="9.6640625" style="30" bestFit="1" customWidth="1"/>
    <col min="6" max="6" width="1.6640625" style="361" customWidth="1"/>
    <col min="7" max="7" width="1.6640625" style="30" customWidth="1"/>
    <col min="8" max="8" width="22.44140625" style="30" customWidth="1"/>
    <col min="9" max="9" width="12" style="315" bestFit="1" customWidth="1"/>
    <col min="10" max="10" width="14" style="315" bestFit="1" customWidth="1"/>
    <col min="11" max="11" width="10.44140625" style="315" bestFit="1" customWidth="1"/>
    <col min="12" max="12" width="15.109375" style="315" bestFit="1" customWidth="1"/>
    <col min="13" max="14" width="1.6640625" style="32" customWidth="1"/>
    <col min="15" max="15" width="24.109375" style="32" customWidth="1"/>
    <col min="16" max="16" width="12" style="32" bestFit="1" customWidth="1"/>
    <col min="17" max="17" width="7.88671875" style="32" bestFit="1" customWidth="1"/>
    <col min="18" max="18" width="8.6640625" style="30" bestFit="1" customWidth="1"/>
    <col min="19" max="19" width="11.5546875" style="35" customWidth="1"/>
    <col min="20" max="21" width="1.6640625" style="35" hidden="1" customWidth="1"/>
    <col min="22" max="22" width="25.109375" style="35" customWidth="1"/>
    <col min="23" max="23" width="12" style="35" bestFit="1" customWidth="1"/>
    <col min="24" max="24" width="7.88671875" style="35" bestFit="1" customWidth="1"/>
    <col min="25" max="25" width="8.6640625" style="35" bestFit="1" customWidth="1"/>
    <col min="26" max="26" width="11.5546875" style="73" bestFit="1" customWidth="1"/>
    <col min="27" max="27" width="2.6640625" style="30" hidden="1" customWidth="1"/>
    <col min="28" max="28" width="12" style="30" bestFit="1" customWidth="1"/>
    <col min="29" max="29" width="7.88671875" style="30" bestFit="1" customWidth="1"/>
    <col min="30" max="30" width="8.6640625" style="30" bestFit="1" customWidth="1"/>
    <col min="31" max="31" width="11.5546875" style="30" bestFit="1" customWidth="1"/>
    <col min="32" max="32" width="2.6640625" style="30" customWidth="1"/>
    <col min="33" max="33" width="105.6640625" style="73" customWidth="1"/>
    <col min="34" max="16384" width="9.109375" style="30"/>
  </cols>
  <sheetData>
    <row r="1" spans="1:33" ht="21" x14ac:dyDescent="0.3">
      <c r="A1" s="54" t="s">
        <v>86</v>
      </c>
      <c r="B1" s="51"/>
      <c r="C1" s="51"/>
      <c r="D1" s="51"/>
      <c r="E1" s="51"/>
      <c r="F1" s="411"/>
      <c r="G1" s="51"/>
      <c r="H1" s="52"/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  <c r="V1" s="53"/>
      <c r="W1" s="52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33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3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3" t="s">
        <v>94</v>
      </c>
    </row>
    <row r="4" spans="1:33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4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340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12"/>
    </row>
    <row r="5" spans="1:33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2" t="s">
        <v>199</v>
      </c>
      <c r="K5" s="446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12"/>
    </row>
    <row r="6" spans="1:33" x14ac:dyDescent="0.3">
      <c r="O6" s="112"/>
      <c r="P6" s="113"/>
      <c r="S6" s="114"/>
      <c r="T6" s="114"/>
      <c r="U6" s="114"/>
      <c r="V6" s="112"/>
      <c r="W6" s="113"/>
      <c r="X6" s="114"/>
      <c r="Y6" s="114"/>
      <c r="Z6" s="115"/>
      <c r="AA6" s="114"/>
      <c r="AB6" s="113"/>
      <c r="AC6" s="114"/>
      <c r="AD6" s="114"/>
      <c r="AE6" s="114"/>
    </row>
    <row r="7" spans="1:33" x14ac:dyDescent="0.3">
      <c r="A7" s="47" t="s">
        <v>32</v>
      </c>
      <c r="B7" s="47"/>
      <c r="C7" s="47"/>
      <c r="D7" s="47"/>
      <c r="E7" s="112"/>
      <c r="F7" s="416"/>
      <c r="G7" s="47"/>
      <c r="H7" s="112"/>
      <c r="K7" s="112"/>
      <c r="O7" s="112"/>
      <c r="P7" s="113"/>
      <c r="S7" s="114"/>
      <c r="T7" s="114"/>
      <c r="U7" s="114"/>
      <c r="V7" s="112"/>
      <c r="W7" s="113"/>
      <c r="X7" s="114"/>
      <c r="Y7" s="114"/>
      <c r="Z7" s="115"/>
      <c r="AA7" s="114"/>
      <c r="AB7" s="113"/>
      <c r="AC7" s="114"/>
      <c r="AD7" s="114"/>
      <c r="AE7" s="114"/>
      <c r="AG7" s="116"/>
    </row>
    <row r="8" spans="1:33" ht="15.6" x14ac:dyDescent="0.3">
      <c r="A8" s="48" t="s">
        <v>119</v>
      </c>
      <c r="D8" s="57">
        <f t="shared" ref="D8:D12" si="0">E8-I8</f>
        <v>0</v>
      </c>
      <c r="E8" s="389">
        <v>1380</v>
      </c>
      <c r="F8" s="415"/>
      <c r="G8" s="48"/>
      <c r="H8" s="57">
        <f>I8-P8</f>
        <v>690</v>
      </c>
      <c r="I8" s="315">
        <v>1380</v>
      </c>
      <c r="J8" s="83">
        <f>I8/12*Summary!$H$30</f>
        <v>1150</v>
      </c>
      <c r="K8" s="268">
        <v>690</v>
      </c>
      <c r="L8" s="58">
        <f t="shared" ref="L8:L12" si="1">J8-K8</f>
        <v>460</v>
      </c>
      <c r="O8" s="57">
        <f>P8-W8</f>
        <v>690</v>
      </c>
      <c r="P8" s="113">
        <v>690</v>
      </c>
      <c r="Q8" s="83">
        <f>P8</f>
        <v>690</v>
      </c>
      <c r="R8" s="361">
        <v>730</v>
      </c>
      <c r="S8" s="58">
        <f t="shared" ref="S8:S12" si="2">Q8-R8</f>
        <v>-40</v>
      </c>
      <c r="T8" s="61"/>
      <c r="U8" s="61"/>
      <c r="V8" s="59">
        <f t="shared" ref="V8:V12" si="3">W8-AB8</f>
        <v>-1000</v>
      </c>
      <c r="W8" s="113">
        <v>0</v>
      </c>
      <c r="X8" s="58">
        <f t="shared" ref="X8:X12" si="4">W8/12*10</f>
        <v>0</v>
      </c>
      <c r="Y8" s="58">
        <v>0</v>
      </c>
      <c r="Z8" s="58">
        <f t="shared" ref="Z8:Z12" si="5">X8-Y8</f>
        <v>0</v>
      </c>
      <c r="AA8" s="114"/>
      <c r="AB8" s="113">
        <v>1000</v>
      </c>
      <c r="AC8" s="58">
        <f t="shared" ref="AC8:AC12" si="6">AB8/12*10</f>
        <v>833.33333333333326</v>
      </c>
      <c r="AD8" s="114">
        <v>630.78</v>
      </c>
      <c r="AE8" s="61">
        <f t="shared" ref="AE8:AE12" si="7">AC8-AD8</f>
        <v>202.55333333333328</v>
      </c>
      <c r="AG8" s="116" t="s">
        <v>228</v>
      </c>
    </row>
    <row r="9" spans="1:33" ht="15.6" x14ac:dyDescent="0.3">
      <c r="A9" s="48" t="s">
        <v>71</v>
      </c>
      <c r="D9" s="57">
        <f t="shared" si="0"/>
        <v>0</v>
      </c>
      <c r="E9" s="346">
        <v>240</v>
      </c>
      <c r="F9" s="393"/>
      <c r="G9" s="48"/>
      <c r="H9" s="57">
        <f>I9-P9</f>
        <v>-5.7599999999999909</v>
      </c>
      <c r="I9" s="303">
        <v>240</v>
      </c>
      <c r="J9" s="83">
        <f>I9/12*Summary!$H$30</f>
        <v>200</v>
      </c>
      <c r="K9" s="268">
        <v>80</v>
      </c>
      <c r="L9" s="58">
        <f t="shared" si="1"/>
        <v>120</v>
      </c>
      <c r="M9" s="243"/>
      <c r="N9" s="243"/>
      <c r="O9" s="57">
        <f>P9-W9</f>
        <v>5.7599999999999909</v>
      </c>
      <c r="P9" s="82">
        <f>W9+(W9*$P$71)</f>
        <v>245.76</v>
      </c>
      <c r="Q9" s="83">
        <f t="shared" ref="Q9:Q12" si="8">P9/12*10</f>
        <v>204.8</v>
      </c>
      <c r="R9" s="361">
        <v>200</v>
      </c>
      <c r="S9" s="58">
        <f t="shared" si="2"/>
        <v>4.8000000000000114</v>
      </c>
      <c r="T9" s="61"/>
      <c r="U9" s="61"/>
      <c r="V9" s="59">
        <f t="shared" si="3"/>
        <v>0</v>
      </c>
      <c r="W9" s="113">
        <v>240</v>
      </c>
      <c r="X9" s="58">
        <f t="shared" si="4"/>
        <v>200</v>
      </c>
      <c r="Y9" s="58">
        <v>200</v>
      </c>
      <c r="Z9" s="58">
        <f t="shared" si="5"/>
        <v>0</v>
      </c>
      <c r="AA9" s="114"/>
      <c r="AB9" s="113">
        <v>240</v>
      </c>
      <c r="AC9" s="58">
        <f t="shared" si="6"/>
        <v>200</v>
      </c>
      <c r="AD9" s="114">
        <v>200</v>
      </c>
      <c r="AE9" s="61">
        <f t="shared" si="7"/>
        <v>0</v>
      </c>
      <c r="AG9" s="116"/>
    </row>
    <row r="10" spans="1:33" ht="15.6" x14ac:dyDescent="0.3">
      <c r="A10" s="48" t="s">
        <v>72</v>
      </c>
      <c r="D10" s="57">
        <f>E10-I10</f>
        <v>0</v>
      </c>
      <c r="E10" s="346">
        <v>240</v>
      </c>
      <c r="F10" s="393"/>
      <c r="G10" s="48"/>
      <c r="H10" s="57">
        <f>I10-P10</f>
        <v>-5.7599999999999909</v>
      </c>
      <c r="I10" s="303">
        <v>240</v>
      </c>
      <c r="J10" s="83">
        <f>I10/12*Summary!$H$30</f>
        <v>200</v>
      </c>
      <c r="K10" s="268">
        <v>80</v>
      </c>
      <c r="L10" s="58">
        <f>J10-K10</f>
        <v>120</v>
      </c>
      <c r="M10" s="243"/>
      <c r="N10" s="243"/>
      <c r="O10" s="57">
        <f>P10-W10</f>
        <v>5.7599999999999909</v>
      </c>
      <c r="P10" s="82">
        <f>W10+(W10*$P$71)</f>
        <v>245.76</v>
      </c>
      <c r="Q10" s="83">
        <f>P10/12*10</f>
        <v>204.8</v>
      </c>
      <c r="R10" s="361">
        <v>200</v>
      </c>
      <c r="S10" s="58">
        <f>Q10-R10</f>
        <v>4.8000000000000114</v>
      </c>
      <c r="T10" s="61"/>
      <c r="U10" s="61"/>
      <c r="V10" s="59">
        <f>W10-AB10</f>
        <v>0</v>
      </c>
      <c r="W10" s="113">
        <v>240</v>
      </c>
      <c r="X10" s="58">
        <f>W10/12*10</f>
        <v>200</v>
      </c>
      <c r="Y10" s="58">
        <v>200</v>
      </c>
      <c r="Z10" s="58">
        <f>X10-Y10</f>
        <v>0</v>
      </c>
      <c r="AA10" s="114"/>
      <c r="AB10" s="113">
        <v>240</v>
      </c>
      <c r="AC10" s="58">
        <f>AB10/12*10</f>
        <v>200</v>
      </c>
      <c r="AD10" s="114">
        <v>200</v>
      </c>
      <c r="AE10" s="61">
        <f>AC10-AD10</f>
        <v>0</v>
      </c>
      <c r="AG10" s="116"/>
    </row>
    <row r="11" spans="1:33" ht="15.6" x14ac:dyDescent="0.3">
      <c r="A11" s="48" t="s">
        <v>112</v>
      </c>
      <c r="D11" s="57">
        <f t="shared" si="0"/>
        <v>0</v>
      </c>
      <c r="E11" s="346">
        <v>102</v>
      </c>
      <c r="F11" s="393"/>
      <c r="G11" s="48"/>
      <c r="H11" s="57">
        <f>I11-P11</f>
        <v>-0.40000000000000568</v>
      </c>
      <c r="I11" s="303">
        <v>102</v>
      </c>
      <c r="J11" s="83">
        <f>I11/12*Summary!$H$30</f>
        <v>85</v>
      </c>
      <c r="K11" s="268">
        <v>0</v>
      </c>
      <c r="L11" s="58">
        <f t="shared" si="1"/>
        <v>85</v>
      </c>
      <c r="M11" s="243"/>
      <c r="N11" s="243"/>
      <c r="O11" s="57">
        <f>P11-W11</f>
        <v>2.4000000000000057</v>
      </c>
      <c r="P11" s="82">
        <f>W11+(W11*$P$71)</f>
        <v>102.4</v>
      </c>
      <c r="Q11" s="83">
        <f t="shared" si="8"/>
        <v>85.333333333333329</v>
      </c>
      <c r="R11" s="361">
        <v>0</v>
      </c>
      <c r="S11" s="58">
        <f t="shared" si="2"/>
        <v>85.333333333333329</v>
      </c>
      <c r="T11" s="61"/>
      <c r="U11" s="61"/>
      <c r="V11" s="59">
        <f t="shared" si="3"/>
        <v>100</v>
      </c>
      <c r="W11" s="113">
        <v>100</v>
      </c>
      <c r="X11" s="58">
        <f t="shared" si="4"/>
        <v>83.333333333333343</v>
      </c>
      <c r="Y11" s="58">
        <v>0</v>
      </c>
      <c r="Z11" s="58">
        <f t="shared" si="5"/>
        <v>83.333333333333343</v>
      </c>
      <c r="AA11" s="114"/>
      <c r="AB11" s="113">
        <v>0</v>
      </c>
      <c r="AC11" s="58">
        <f t="shared" si="6"/>
        <v>0</v>
      </c>
      <c r="AD11" s="114">
        <v>120</v>
      </c>
      <c r="AE11" s="61">
        <f t="shared" si="7"/>
        <v>-120</v>
      </c>
      <c r="AG11" s="116"/>
    </row>
    <row r="12" spans="1:33" ht="15.6" x14ac:dyDescent="0.3">
      <c r="A12" s="48" t="s">
        <v>120</v>
      </c>
      <c r="D12" s="57">
        <f t="shared" si="0"/>
        <v>-100</v>
      </c>
      <c r="E12" s="389">
        <v>1500</v>
      </c>
      <c r="F12" s="415"/>
      <c r="G12" s="48"/>
      <c r="H12" s="57">
        <f>I12-P12</f>
        <v>300</v>
      </c>
      <c r="I12" s="315">
        <v>1600</v>
      </c>
      <c r="J12" s="83">
        <f>I12/12*Summary!$H$30</f>
        <v>1333.3333333333335</v>
      </c>
      <c r="K12" s="268">
        <v>570</v>
      </c>
      <c r="L12" s="58">
        <f t="shared" si="1"/>
        <v>763.33333333333348</v>
      </c>
      <c r="O12" s="57">
        <f>P12-W12</f>
        <v>-700</v>
      </c>
      <c r="P12" s="113">
        <v>1300</v>
      </c>
      <c r="Q12" s="83">
        <f t="shared" si="8"/>
        <v>1083.3333333333333</v>
      </c>
      <c r="R12" s="361">
        <v>2176</v>
      </c>
      <c r="S12" s="58">
        <f t="shared" si="2"/>
        <v>-1092.6666666666667</v>
      </c>
      <c r="T12" s="61"/>
      <c r="U12" s="61"/>
      <c r="V12" s="59">
        <f t="shared" si="3"/>
        <v>1000</v>
      </c>
      <c r="W12" s="113">
        <v>2000</v>
      </c>
      <c r="X12" s="58">
        <f t="shared" si="4"/>
        <v>1666.6666666666665</v>
      </c>
      <c r="Y12" s="58">
        <v>1251.32</v>
      </c>
      <c r="Z12" s="58">
        <f t="shared" si="5"/>
        <v>415.34666666666658</v>
      </c>
      <c r="AA12" s="114"/>
      <c r="AB12" s="113">
        <v>1000</v>
      </c>
      <c r="AC12" s="58">
        <f t="shared" si="6"/>
        <v>833.33333333333326</v>
      </c>
      <c r="AD12" s="114">
        <v>1697.51</v>
      </c>
      <c r="AE12" s="61">
        <f t="shared" si="7"/>
        <v>-864.17666666666673</v>
      </c>
      <c r="AG12" s="116" t="s">
        <v>228</v>
      </c>
    </row>
    <row r="13" spans="1:33" ht="15.6" x14ac:dyDescent="0.3">
      <c r="A13" s="48"/>
      <c r="D13" s="57"/>
      <c r="E13" s="113"/>
      <c r="F13" s="415"/>
      <c r="G13" s="48"/>
      <c r="H13" s="57"/>
      <c r="J13" s="58"/>
      <c r="K13" s="83"/>
      <c r="L13" s="58"/>
      <c r="O13" s="57"/>
      <c r="P13" s="113"/>
      <c r="Q13" s="83"/>
      <c r="R13" s="361"/>
      <c r="S13" s="58"/>
      <c r="T13" s="61"/>
      <c r="U13" s="61"/>
      <c r="V13" s="59"/>
      <c r="W13" s="113"/>
      <c r="X13" s="58"/>
      <c r="Y13" s="58"/>
      <c r="Z13" s="58"/>
      <c r="AA13" s="114"/>
      <c r="AB13" s="113"/>
      <c r="AC13" s="58"/>
      <c r="AD13" s="114"/>
      <c r="AE13" s="61"/>
      <c r="AG13" s="116"/>
    </row>
    <row r="14" spans="1:33" ht="15" thickBot="1" x14ac:dyDescent="0.35">
      <c r="A14" s="135" t="s">
        <v>153</v>
      </c>
      <c r="D14" s="117">
        <f>SUM(D7:D13)</f>
        <v>-100</v>
      </c>
      <c r="E14" s="118">
        <f>SUM(E7:E13)</f>
        <v>3462</v>
      </c>
      <c r="F14" s="149"/>
      <c r="G14" s="147"/>
      <c r="H14" s="117">
        <f>SUM(H7:H13)</f>
        <v>978.08</v>
      </c>
      <c r="I14" s="339">
        <f>SUM(I7:I13)</f>
        <v>3562</v>
      </c>
      <c r="J14" s="119">
        <f>SUM(J7:J13)</f>
        <v>2968.3333333333335</v>
      </c>
      <c r="K14" s="119">
        <f>SUM(K7:K13)</f>
        <v>1420</v>
      </c>
      <c r="L14" s="119">
        <f>SUM(L7:L13)</f>
        <v>1548.3333333333335</v>
      </c>
      <c r="M14" s="121"/>
      <c r="N14" s="121"/>
      <c r="O14" s="117">
        <f>SUM(O7:O13)</f>
        <v>3.9199999999999591</v>
      </c>
      <c r="P14" s="118">
        <f>SUM(P7:P13)</f>
        <v>2583.92</v>
      </c>
      <c r="Q14" s="119">
        <f>SUM(Q7:Q13)</f>
        <v>2268.2666666666664</v>
      </c>
      <c r="R14" s="392">
        <f>SUM(R7:R13)</f>
        <v>3306</v>
      </c>
      <c r="S14" s="119">
        <f>SUM(S7:S13)</f>
        <v>-1037.7333333333333</v>
      </c>
      <c r="T14" s="114"/>
      <c r="U14" s="114"/>
      <c r="V14" s="117">
        <f>SUM(V7:V13)</f>
        <v>100</v>
      </c>
      <c r="W14" s="118">
        <f>SUM(W7:W13)</f>
        <v>2580</v>
      </c>
      <c r="X14" s="119">
        <f>SUM(X7:X13)</f>
        <v>2150</v>
      </c>
      <c r="Y14" s="119">
        <f>SUM(Y7:Y13)</f>
        <v>1651.32</v>
      </c>
      <c r="Z14" s="119">
        <f>SUM(Z7:Z13)</f>
        <v>498.67999999999995</v>
      </c>
      <c r="AA14" s="114"/>
      <c r="AB14" s="118">
        <f>SUM(AB7:AB13)</f>
        <v>2480</v>
      </c>
      <c r="AC14" s="119">
        <f>SUM(AC7:AC13)</f>
        <v>2066.6666666666665</v>
      </c>
      <c r="AD14" s="119">
        <f>SUM(AD7:AD13)</f>
        <v>2848.29</v>
      </c>
      <c r="AE14" s="119">
        <f>SUM(AE7:AE13)</f>
        <v>-781.62333333333345</v>
      </c>
      <c r="AG14" s="116"/>
    </row>
    <row r="15" spans="1:33" x14ac:dyDescent="0.3">
      <c r="A15" s="7"/>
      <c r="D15" s="112"/>
      <c r="E15" s="113"/>
      <c r="F15" s="415"/>
      <c r="G15" s="7"/>
      <c r="H15" s="112"/>
      <c r="J15" s="114"/>
      <c r="K15" s="114"/>
      <c r="L15" s="114"/>
      <c r="O15" s="112"/>
      <c r="P15" s="121"/>
      <c r="Q15" s="114"/>
      <c r="R15" s="361"/>
      <c r="S15" s="115"/>
      <c r="T15" s="114"/>
      <c r="U15" s="114"/>
      <c r="V15" s="112"/>
      <c r="W15" s="121"/>
      <c r="X15" s="114"/>
      <c r="Y15" s="114"/>
      <c r="Z15" s="115"/>
      <c r="AA15" s="114"/>
      <c r="AB15" s="121"/>
      <c r="AC15" s="114"/>
      <c r="AD15" s="122"/>
      <c r="AE15" s="114"/>
      <c r="AG15" s="116"/>
    </row>
    <row r="16" spans="1:33" x14ac:dyDescent="0.3">
      <c r="A16" s="8" t="s">
        <v>33</v>
      </c>
      <c r="D16" s="112"/>
      <c r="E16" s="113"/>
      <c r="F16" s="415"/>
      <c r="G16" s="8"/>
      <c r="H16" s="112"/>
      <c r="J16" s="114"/>
      <c r="K16" s="114"/>
      <c r="L16" s="114"/>
      <c r="O16" s="112"/>
      <c r="P16" s="113"/>
      <c r="Q16" s="114"/>
      <c r="R16" s="361"/>
      <c r="S16" s="115"/>
      <c r="T16" s="114"/>
      <c r="U16" s="114"/>
      <c r="V16" s="112"/>
      <c r="W16" s="113"/>
      <c r="X16" s="114"/>
      <c r="Y16" s="114"/>
      <c r="Z16" s="115"/>
      <c r="AA16" s="114"/>
      <c r="AB16" s="113"/>
      <c r="AC16" s="114"/>
      <c r="AD16" s="114"/>
      <c r="AE16" s="114"/>
      <c r="AG16" s="116"/>
    </row>
    <row r="17" spans="1:36" ht="15.6" x14ac:dyDescent="0.3">
      <c r="A17" s="5" t="s">
        <v>45</v>
      </c>
      <c r="D17" s="57">
        <f t="shared" ref="D17:D23" si="9">E17-I17</f>
        <v>-1024</v>
      </c>
      <c r="E17" s="389">
        <v>2750</v>
      </c>
      <c r="F17" s="415"/>
      <c r="G17" s="168"/>
      <c r="H17" s="57">
        <f t="shared" ref="H17:H23" si="10">I17-P17</f>
        <v>-4038</v>
      </c>
      <c r="I17" s="315">
        <v>3774</v>
      </c>
      <c r="J17" s="83">
        <f>I17/12*Summary!$H$30</f>
        <v>3145</v>
      </c>
      <c r="K17" s="268">
        <v>1974</v>
      </c>
      <c r="L17" s="58">
        <f t="shared" ref="L17:L23" si="11">J17-K17</f>
        <v>1171</v>
      </c>
      <c r="O17" s="57">
        <f t="shared" ref="O17:O23" si="12">P17-W17</f>
        <v>2812</v>
      </c>
      <c r="P17" s="113">
        <f>11028-3216</f>
        <v>7812</v>
      </c>
      <c r="Q17" s="83">
        <f t="shared" ref="Q17:Q23" si="13">P17</f>
        <v>7812</v>
      </c>
      <c r="R17" s="361">
        <v>7818</v>
      </c>
      <c r="S17" s="58">
        <f t="shared" ref="S17:S23" si="14">Q17-R17</f>
        <v>-6</v>
      </c>
      <c r="T17" s="61"/>
      <c r="U17" s="61"/>
      <c r="V17" s="59">
        <f t="shared" ref="V17:V23" si="15">W17-AB17</f>
        <v>3000</v>
      </c>
      <c r="W17" s="113">
        <v>5000</v>
      </c>
      <c r="X17" s="58">
        <f t="shared" ref="X17:X23" si="16">W17/12*10</f>
        <v>4166.666666666667</v>
      </c>
      <c r="Y17" s="58">
        <v>5624.07</v>
      </c>
      <c r="Z17" s="58">
        <f t="shared" ref="Z17:Z23" si="17">X17-Y17</f>
        <v>-1457.4033333333327</v>
      </c>
      <c r="AA17" s="114"/>
      <c r="AB17" s="113">
        <v>2000</v>
      </c>
      <c r="AC17" s="58">
        <f t="shared" ref="AC17:AC23" si="18">AB17/12*10</f>
        <v>1666.6666666666665</v>
      </c>
      <c r="AD17" s="114">
        <v>4494.22</v>
      </c>
      <c r="AE17" s="61">
        <f t="shared" ref="AE17:AE23" si="19">AC17-AD17</f>
        <v>-2827.5533333333337</v>
      </c>
      <c r="AG17" s="124" t="s">
        <v>228</v>
      </c>
    </row>
    <row r="18" spans="1:36" ht="15.6" x14ac:dyDescent="0.3">
      <c r="A18" s="122" t="s">
        <v>46</v>
      </c>
      <c r="D18" s="57">
        <f t="shared" si="9"/>
        <v>-1400</v>
      </c>
      <c r="E18" s="389">
        <v>600</v>
      </c>
      <c r="F18" s="415"/>
      <c r="G18" s="122"/>
      <c r="H18" s="57">
        <f t="shared" si="10"/>
        <v>0</v>
      </c>
      <c r="I18" s="315">
        <v>2000</v>
      </c>
      <c r="J18" s="83">
        <f>I18/12*Summary!$H$30</f>
        <v>1666.6666666666665</v>
      </c>
      <c r="K18" s="268">
        <v>1883</v>
      </c>
      <c r="L18" s="58">
        <f t="shared" si="11"/>
        <v>-216.33333333333348</v>
      </c>
      <c r="O18" s="57">
        <f t="shared" si="12"/>
        <v>0</v>
      </c>
      <c r="P18" s="113">
        <v>2000</v>
      </c>
      <c r="Q18" s="83">
        <f t="shared" si="13"/>
        <v>2000</v>
      </c>
      <c r="R18" s="361">
        <v>5685</v>
      </c>
      <c r="S18" s="58">
        <f t="shared" si="14"/>
        <v>-3685</v>
      </c>
      <c r="T18" s="61"/>
      <c r="U18" s="61"/>
      <c r="V18" s="59">
        <f t="shared" si="15"/>
        <v>500</v>
      </c>
      <c r="W18" s="113">
        <v>2000</v>
      </c>
      <c r="X18" s="58">
        <f t="shared" si="16"/>
        <v>1666.6666666666665</v>
      </c>
      <c r="Y18" s="58">
        <v>1693.44</v>
      </c>
      <c r="Z18" s="58">
        <f t="shared" si="17"/>
        <v>-26.773333333333539</v>
      </c>
      <c r="AA18" s="114"/>
      <c r="AB18" s="113">
        <v>1500</v>
      </c>
      <c r="AC18" s="58">
        <f t="shared" si="18"/>
        <v>1250</v>
      </c>
      <c r="AD18" s="114">
        <v>6259.78</v>
      </c>
      <c r="AE18" s="61">
        <f t="shared" si="19"/>
        <v>-5009.78</v>
      </c>
      <c r="AG18" s="116"/>
      <c r="AH18" s="46" t="s">
        <v>228</v>
      </c>
    </row>
    <row r="19" spans="1:36" ht="15.6" x14ac:dyDescent="0.3">
      <c r="A19" s="48" t="s">
        <v>73</v>
      </c>
      <c r="B19" s="30" t="s">
        <v>228</v>
      </c>
      <c r="D19" s="57">
        <f t="shared" si="9"/>
        <v>-100</v>
      </c>
      <c r="E19" s="346">
        <v>100</v>
      </c>
      <c r="F19" s="393"/>
      <c r="G19" s="48"/>
      <c r="H19" s="57">
        <f t="shared" si="10"/>
        <v>-4.8000000000000114</v>
      </c>
      <c r="I19" s="303">
        <v>200</v>
      </c>
      <c r="J19" s="83">
        <f>I19/12*Summary!$H$30</f>
        <v>166.66666666666669</v>
      </c>
      <c r="K19" s="268">
        <v>0</v>
      </c>
      <c r="L19" s="58">
        <f t="shared" si="11"/>
        <v>166.66666666666669</v>
      </c>
      <c r="M19" s="243"/>
      <c r="N19" s="243"/>
      <c r="O19" s="57">
        <f t="shared" si="12"/>
        <v>4.8000000000000114</v>
      </c>
      <c r="P19" s="82">
        <f>W19+(W19*$P$71)</f>
        <v>204.8</v>
      </c>
      <c r="Q19" s="83">
        <f t="shared" si="13"/>
        <v>204.8</v>
      </c>
      <c r="R19" s="361">
        <v>0</v>
      </c>
      <c r="S19" s="58">
        <f t="shared" si="14"/>
        <v>204.8</v>
      </c>
      <c r="T19" s="61"/>
      <c r="U19" s="61"/>
      <c r="V19" s="59">
        <f t="shared" si="15"/>
        <v>0</v>
      </c>
      <c r="W19" s="113">
        <v>200</v>
      </c>
      <c r="X19" s="58">
        <f t="shared" si="16"/>
        <v>166.66666666666669</v>
      </c>
      <c r="Y19" s="58">
        <v>0</v>
      </c>
      <c r="Z19" s="58">
        <f t="shared" si="17"/>
        <v>166.66666666666669</v>
      </c>
      <c r="AA19" s="114"/>
      <c r="AB19" s="113">
        <v>200</v>
      </c>
      <c r="AC19" s="58">
        <f t="shared" si="18"/>
        <v>166.66666666666669</v>
      </c>
      <c r="AD19" s="114">
        <v>60</v>
      </c>
      <c r="AE19" s="61">
        <f t="shared" si="19"/>
        <v>106.66666666666669</v>
      </c>
      <c r="AG19" s="116"/>
    </row>
    <row r="20" spans="1:36" ht="15.6" x14ac:dyDescent="0.3">
      <c r="A20" s="48" t="s">
        <v>48</v>
      </c>
      <c r="D20" s="57">
        <f t="shared" si="9"/>
        <v>0</v>
      </c>
      <c r="E20" s="389">
        <v>200</v>
      </c>
      <c r="F20" s="415"/>
      <c r="G20" s="48"/>
      <c r="H20" s="57">
        <f t="shared" si="10"/>
        <v>0</v>
      </c>
      <c r="I20" s="315">
        <v>200</v>
      </c>
      <c r="J20" s="83">
        <f>I20/12*Summary!$H$30</f>
        <v>166.66666666666669</v>
      </c>
      <c r="K20" s="268">
        <v>396</v>
      </c>
      <c r="L20" s="58">
        <f t="shared" si="11"/>
        <v>-229.33333333333331</v>
      </c>
      <c r="O20" s="57">
        <f t="shared" si="12"/>
        <v>-100</v>
      </c>
      <c r="P20" s="113">
        <v>200</v>
      </c>
      <c r="Q20" s="83">
        <f t="shared" si="13"/>
        <v>200</v>
      </c>
      <c r="R20" s="361">
        <v>1709</v>
      </c>
      <c r="S20" s="58">
        <f t="shared" si="14"/>
        <v>-1509</v>
      </c>
      <c r="T20" s="61"/>
      <c r="U20" s="61"/>
      <c r="V20" s="59">
        <f t="shared" si="15"/>
        <v>-300</v>
      </c>
      <c r="W20" s="113">
        <v>300</v>
      </c>
      <c r="X20" s="58">
        <f t="shared" si="16"/>
        <v>250</v>
      </c>
      <c r="Y20" s="58">
        <v>155</v>
      </c>
      <c r="Z20" s="58">
        <f t="shared" si="17"/>
        <v>95</v>
      </c>
      <c r="AA20" s="114"/>
      <c r="AB20" s="113">
        <v>600</v>
      </c>
      <c r="AC20" s="58">
        <f t="shared" si="18"/>
        <v>500</v>
      </c>
      <c r="AD20" s="114">
        <v>175</v>
      </c>
      <c r="AE20" s="61">
        <f t="shared" si="19"/>
        <v>325</v>
      </c>
      <c r="AG20" s="116"/>
    </row>
    <row r="21" spans="1:36" ht="15.6" x14ac:dyDescent="0.3">
      <c r="A21" s="48" t="s">
        <v>49</v>
      </c>
      <c r="D21" s="57">
        <f t="shared" si="9"/>
        <v>0</v>
      </c>
      <c r="E21" s="389">
        <v>1500</v>
      </c>
      <c r="F21" s="415"/>
      <c r="G21" s="48"/>
      <c r="H21" s="57">
        <f t="shared" si="10"/>
        <v>0</v>
      </c>
      <c r="I21" s="315">
        <v>1500</v>
      </c>
      <c r="J21" s="83">
        <f>I21/12*Summary!$H$30</f>
        <v>1250</v>
      </c>
      <c r="K21" s="268">
        <v>1326</v>
      </c>
      <c r="L21" s="58">
        <f t="shared" si="11"/>
        <v>-76</v>
      </c>
      <c r="O21" s="57">
        <f t="shared" si="12"/>
        <v>-500</v>
      </c>
      <c r="P21" s="113">
        <v>1500</v>
      </c>
      <c r="Q21" s="83">
        <f t="shared" si="13"/>
        <v>1500</v>
      </c>
      <c r="R21" s="361">
        <v>1068</v>
      </c>
      <c r="S21" s="58">
        <f t="shared" si="14"/>
        <v>432</v>
      </c>
      <c r="T21" s="61"/>
      <c r="U21" s="61"/>
      <c r="V21" s="59">
        <f t="shared" si="15"/>
        <v>0</v>
      </c>
      <c r="W21" s="113">
        <v>2000</v>
      </c>
      <c r="X21" s="58">
        <f t="shared" si="16"/>
        <v>1666.6666666666665</v>
      </c>
      <c r="Y21" s="58">
        <v>1437</v>
      </c>
      <c r="Z21" s="58">
        <f t="shared" si="17"/>
        <v>229.66666666666652</v>
      </c>
      <c r="AA21" s="114"/>
      <c r="AB21" s="113">
        <v>2000</v>
      </c>
      <c r="AC21" s="58">
        <f t="shared" si="18"/>
        <v>1666.6666666666665</v>
      </c>
      <c r="AD21" s="114">
        <v>3888.74</v>
      </c>
      <c r="AE21" s="61">
        <f t="shared" si="19"/>
        <v>-2222.0733333333333</v>
      </c>
      <c r="AG21" s="124"/>
    </row>
    <row r="22" spans="1:36" ht="15.6" x14ac:dyDescent="0.3">
      <c r="A22" s="48" t="s">
        <v>6</v>
      </c>
      <c r="D22" s="57">
        <f t="shared" si="9"/>
        <v>0</v>
      </c>
      <c r="E22" s="389">
        <v>3000</v>
      </c>
      <c r="F22" s="415"/>
      <c r="G22" s="48"/>
      <c r="H22" s="57">
        <f t="shared" si="10"/>
        <v>-200</v>
      </c>
      <c r="I22" s="315">
        <v>3000</v>
      </c>
      <c r="J22" s="83">
        <f>I22/12*Summary!$H$30</f>
        <v>2500</v>
      </c>
      <c r="K22" s="268">
        <v>1569</v>
      </c>
      <c r="L22" s="58">
        <f t="shared" si="11"/>
        <v>931</v>
      </c>
      <c r="O22" s="57">
        <f t="shared" si="12"/>
        <v>-300</v>
      </c>
      <c r="P22" s="113">
        <v>3200</v>
      </c>
      <c r="Q22" s="83">
        <f t="shared" si="13"/>
        <v>3200</v>
      </c>
      <c r="R22" s="361">
        <v>2699</v>
      </c>
      <c r="S22" s="58">
        <f t="shared" si="14"/>
        <v>501</v>
      </c>
      <c r="T22" s="61"/>
      <c r="U22" s="61"/>
      <c r="V22" s="59">
        <f t="shared" si="15"/>
        <v>300</v>
      </c>
      <c r="W22" s="113">
        <v>3500</v>
      </c>
      <c r="X22" s="58">
        <f t="shared" si="16"/>
        <v>2916.666666666667</v>
      </c>
      <c r="Y22" s="58">
        <v>2692.97</v>
      </c>
      <c r="Z22" s="58">
        <f t="shared" si="17"/>
        <v>223.69666666666717</v>
      </c>
      <c r="AA22" s="114"/>
      <c r="AB22" s="113">
        <v>3200</v>
      </c>
      <c r="AC22" s="58">
        <f t="shared" si="18"/>
        <v>2666.666666666667</v>
      </c>
      <c r="AD22" s="114">
        <v>3015</v>
      </c>
      <c r="AE22" s="61">
        <f t="shared" si="19"/>
        <v>-348.33333333333303</v>
      </c>
      <c r="AG22" s="116"/>
    </row>
    <row r="23" spans="1:36" ht="15.6" x14ac:dyDescent="0.3">
      <c r="A23" s="281" t="s">
        <v>192</v>
      </c>
      <c r="D23" s="57">
        <f t="shared" si="9"/>
        <v>-200</v>
      </c>
      <c r="E23" s="389">
        <v>400</v>
      </c>
      <c r="F23" s="415"/>
      <c r="G23" s="281"/>
      <c r="H23" s="57">
        <f t="shared" si="10"/>
        <v>600</v>
      </c>
      <c r="I23" s="315">
        <v>600</v>
      </c>
      <c r="J23" s="83">
        <f>I23/12*Summary!$H$30</f>
        <v>500</v>
      </c>
      <c r="K23" s="268">
        <v>155</v>
      </c>
      <c r="L23" s="58">
        <f t="shared" si="11"/>
        <v>345</v>
      </c>
      <c r="O23" s="57">
        <f t="shared" si="12"/>
        <v>0</v>
      </c>
      <c r="P23" s="113">
        <v>0</v>
      </c>
      <c r="Q23" s="83">
        <f t="shared" si="13"/>
        <v>0</v>
      </c>
      <c r="R23" s="361">
        <v>0</v>
      </c>
      <c r="S23" s="58">
        <f t="shared" si="14"/>
        <v>0</v>
      </c>
      <c r="T23" s="61"/>
      <c r="U23" s="61"/>
      <c r="V23" s="59">
        <f t="shared" si="15"/>
        <v>0</v>
      </c>
      <c r="W23" s="113">
        <v>0</v>
      </c>
      <c r="X23" s="58">
        <f t="shared" si="16"/>
        <v>0</v>
      </c>
      <c r="Y23" s="58">
        <v>0</v>
      </c>
      <c r="Z23" s="58">
        <f t="shared" si="17"/>
        <v>0</v>
      </c>
      <c r="AA23" s="114"/>
      <c r="AB23" s="113">
        <v>0</v>
      </c>
      <c r="AC23" s="58">
        <f t="shared" si="18"/>
        <v>0</v>
      </c>
      <c r="AD23" s="114">
        <v>60</v>
      </c>
      <c r="AE23" s="61">
        <f t="shared" si="19"/>
        <v>-60</v>
      </c>
      <c r="AG23" s="116" t="s">
        <v>228</v>
      </c>
    </row>
    <row r="24" spans="1:36" ht="15.6" x14ac:dyDescent="0.3">
      <c r="A24" s="48"/>
      <c r="D24" s="57"/>
      <c r="E24" s="113"/>
      <c r="F24" s="415"/>
      <c r="G24" s="48"/>
      <c r="H24" s="57"/>
      <c r="J24" s="58"/>
      <c r="K24" s="83"/>
      <c r="L24" s="58"/>
      <c r="O24" s="57"/>
      <c r="P24" s="113"/>
      <c r="Q24" s="348"/>
      <c r="R24" s="361"/>
      <c r="S24" s="58"/>
      <c r="T24" s="61"/>
      <c r="U24" s="61"/>
      <c r="V24" s="59"/>
      <c r="W24" s="113"/>
      <c r="X24" s="58"/>
      <c r="Y24" s="58"/>
      <c r="Z24" s="58"/>
      <c r="AA24" s="114"/>
      <c r="AB24" s="113"/>
      <c r="AC24" s="58"/>
      <c r="AD24" s="114"/>
      <c r="AE24" s="61"/>
      <c r="AG24" s="116"/>
    </row>
    <row r="25" spans="1:36" ht="15" thickBot="1" x14ac:dyDescent="0.35">
      <c r="A25" s="135" t="s">
        <v>154</v>
      </c>
      <c r="D25" s="117">
        <f t="shared" ref="D25:E25" si="20">SUM(D16:D24)</f>
        <v>-2724</v>
      </c>
      <c r="E25" s="118">
        <f t="shared" si="20"/>
        <v>8550</v>
      </c>
      <c r="F25" s="149"/>
      <c r="G25" s="147"/>
      <c r="H25" s="117">
        <f t="shared" ref="H25" si="21">SUM(H16:H24)</f>
        <v>-3642.8</v>
      </c>
      <c r="I25" s="339">
        <f t="shared" ref="I25:L25" si="22">SUM(I16:I24)</f>
        <v>11274</v>
      </c>
      <c r="J25" s="119">
        <f t="shared" si="22"/>
        <v>9395</v>
      </c>
      <c r="K25" s="119">
        <f>SUM(K16:K24)</f>
        <v>7303</v>
      </c>
      <c r="L25" s="119">
        <f t="shared" si="22"/>
        <v>2092</v>
      </c>
      <c r="M25" s="121"/>
      <c r="N25" s="121"/>
      <c r="O25" s="117">
        <f>SUM(O16:O24)</f>
        <v>1916.8000000000002</v>
      </c>
      <c r="P25" s="118">
        <f>SUM(P16:P24)</f>
        <v>14916.8</v>
      </c>
      <c r="Q25" s="392">
        <f t="shared" ref="Q25:R25" si="23">SUM(Q16:Q24)</f>
        <v>14916.8</v>
      </c>
      <c r="R25" s="392">
        <f t="shared" si="23"/>
        <v>18979</v>
      </c>
      <c r="S25" s="119">
        <f t="shared" ref="S25" si="24">SUM(S16:S24)</f>
        <v>-4062.2</v>
      </c>
      <c r="T25" s="114"/>
      <c r="U25" s="114"/>
      <c r="V25" s="117">
        <f t="shared" ref="V25:Z25" si="25">SUM(V16:V24)</f>
        <v>3500</v>
      </c>
      <c r="W25" s="118">
        <f t="shared" si="25"/>
        <v>13000</v>
      </c>
      <c r="X25" s="119">
        <f t="shared" si="25"/>
        <v>10833.333333333336</v>
      </c>
      <c r="Y25" s="119">
        <f t="shared" si="25"/>
        <v>11602.48</v>
      </c>
      <c r="Z25" s="119">
        <f t="shared" si="25"/>
        <v>-769.14666666666585</v>
      </c>
      <c r="AA25" s="114"/>
      <c r="AB25" s="118">
        <f>SUM(AB16:AB24)</f>
        <v>9500</v>
      </c>
      <c r="AC25" s="119">
        <f t="shared" ref="AC25:AE25" si="26">SUM(AC16:AC24)</f>
        <v>7916.666666666667</v>
      </c>
      <c r="AD25" s="119">
        <f t="shared" si="26"/>
        <v>17952.739999999998</v>
      </c>
      <c r="AE25" s="119">
        <f t="shared" si="26"/>
        <v>-10036.073333333334</v>
      </c>
      <c r="AG25" s="116"/>
    </row>
    <row r="26" spans="1:36" x14ac:dyDescent="0.3">
      <c r="A26" s="7"/>
      <c r="D26" s="112"/>
      <c r="E26" s="113"/>
      <c r="F26" s="415"/>
      <c r="G26" s="7"/>
      <c r="H26" s="112"/>
      <c r="J26" s="114"/>
      <c r="K26" s="114"/>
      <c r="L26" s="114"/>
      <c r="O26" s="112"/>
      <c r="P26" s="121"/>
      <c r="Q26" s="357"/>
      <c r="R26" s="361"/>
      <c r="S26" s="115"/>
      <c r="T26" s="114"/>
      <c r="U26" s="114"/>
      <c r="V26" s="112"/>
      <c r="W26" s="121"/>
      <c r="X26" s="114"/>
      <c r="Y26" s="114"/>
      <c r="Z26" s="115"/>
      <c r="AA26" s="114"/>
      <c r="AB26" s="121"/>
      <c r="AC26" s="114"/>
      <c r="AD26" s="122"/>
      <c r="AE26" s="114"/>
      <c r="AG26" s="116"/>
    </row>
    <row r="27" spans="1:36" x14ac:dyDescent="0.3">
      <c r="A27" s="8" t="s">
        <v>79</v>
      </c>
      <c r="D27" s="112"/>
      <c r="E27" s="113"/>
      <c r="F27" s="415"/>
      <c r="G27" s="8"/>
      <c r="H27" s="112"/>
      <c r="J27" s="114"/>
      <c r="K27" s="114"/>
      <c r="L27" s="114"/>
      <c r="O27" s="112"/>
      <c r="P27" s="113"/>
      <c r="Q27" s="357"/>
      <c r="R27" s="361"/>
      <c r="S27" s="115"/>
      <c r="T27" s="114"/>
      <c r="U27" s="114"/>
      <c r="V27" s="112"/>
      <c r="W27" s="113"/>
      <c r="X27" s="114"/>
      <c r="Y27" s="114"/>
      <c r="Z27" s="115"/>
      <c r="AA27" s="114"/>
      <c r="AB27" s="113"/>
      <c r="AC27" s="114"/>
      <c r="AD27" s="114"/>
      <c r="AE27" s="114"/>
      <c r="AG27" s="116"/>
    </row>
    <row r="28" spans="1:36" ht="15.6" x14ac:dyDescent="0.3">
      <c r="A28" s="5" t="s">
        <v>34</v>
      </c>
      <c r="D28" s="57">
        <f t="shared" ref="D28:D30" si="27">E28-I28</f>
        <v>-70</v>
      </c>
      <c r="E28" s="389">
        <v>22000</v>
      </c>
      <c r="F28" s="415"/>
      <c r="G28" s="168"/>
      <c r="H28" s="57">
        <f>I28-P28</f>
        <v>1570</v>
      </c>
      <c r="I28" s="315">
        <v>22070</v>
      </c>
      <c r="J28" s="83">
        <f>I28/12*Summary!$H$30</f>
        <v>18391.666666666668</v>
      </c>
      <c r="K28" s="268">
        <v>13688</v>
      </c>
      <c r="L28" s="58">
        <f t="shared" ref="L28:L30" si="28">J28-K28</f>
        <v>4703.6666666666679</v>
      </c>
      <c r="O28" s="57">
        <f>P28-W28</f>
        <v>4500</v>
      </c>
      <c r="P28" s="113">
        <v>20500</v>
      </c>
      <c r="Q28" s="83">
        <f t="shared" ref="Q28:Q30" si="29">P28</f>
        <v>20500</v>
      </c>
      <c r="R28" s="361">
        <v>17294</v>
      </c>
      <c r="S28" s="58">
        <f t="shared" ref="S28:S30" si="30">Q28-R28</f>
        <v>3206</v>
      </c>
      <c r="T28" s="61"/>
      <c r="U28" s="61"/>
      <c r="V28" s="59">
        <f t="shared" ref="V28:V30" si="31">W28-AB28</f>
        <v>2000</v>
      </c>
      <c r="W28" s="113">
        <v>16000</v>
      </c>
      <c r="X28" s="58">
        <f t="shared" ref="X28:X30" si="32">W28/12*10</f>
        <v>13333.333333333332</v>
      </c>
      <c r="Y28" s="58">
        <v>18556.113000000001</v>
      </c>
      <c r="Z28" s="58">
        <f t="shared" ref="Z28:Z30" si="33">X28-Y28</f>
        <v>-5222.7796666666691</v>
      </c>
      <c r="AA28" s="114"/>
      <c r="AB28" s="113">
        <v>14000</v>
      </c>
      <c r="AC28" s="58">
        <f t="shared" ref="AC28:AC30" si="34">AB28/12*10</f>
        <v>11666.666666666668</v>
      </c>
      <c r="AD28" s="114">
        <v>16066.87</v>
      </c>
      <c r="AE28" s="61">
        <f t="shared" ref="AE28:AE30" si="35">AC28-AD28</f>
        <v>-4400.2033333333329</v>
      </c>
      <c r="AG28" s="116"/>
      <c r="AJ28" s="46" t="s">
        <v>228</v>
      </c>
    </row>
    <row r="29" spans="1:36" ht="15.6" x14ac:dyDescent="0.3">
      <c r="A29" s="122" t="s">
        <v>7</v>
      </c>
      <c r="D29" s="57">
        <f t="shared" si="27"/>
        <v>3050</v>
      </c>
      <c r="E29" s="389">
        <v>10800</v>
      </c>
      <c r="F29" s="415"/>
      <c r="G29" s="122"/>
      <c r="H29" s="57">
        <f>I29-P29</f>
        <v>1750</v>
      </c>
      <c r="I29" s="315">
        <v>7750</v>
      </c>
      <c r="J29" s="83">
        <f>I29/12*Summary!$H$30</f>
        <v>6458.3333333333339</v>
      </c>
      <c r="K29" s="268">
        <v>7310</v>
      </c>
      <c r="L29" s="58">
        <f t="shared" si="28"/>
        <v>-851.66666666666606</v>
      </c>
      <c r="O29" s="57">
        <f>P29-W29</f>
        <v>-1000</v>
      </c>
      <c r="P29" s="113">
        <v>6000</v>
      </c>
      <c r="Q29" s="83">
        <f t="shared" si="29"/>
        <v>6000</v>
      </c>
      <c r="R29" s="361">
        <v>8212</v>
      </c>
      <c r="S29" s="58">
        <f t="shared" si="30"/>
        <v>-2212</v>
      </c>
      <c r="T29" s="61"/>
      <c r="U29" s="61"/>
      <c r="V29" s="59">
        <f t="shared" si="31"/>
        <v>0</v>
      </c>
      <c r="W29" s="113">
        <v>7000</v>
      </c>
      <c r="X29" s="58">
        <f t="shared" si="32"/>
        <v>5833.3333333333339</v>
      </c>
      <c r="Y29" s="58">
        <v>4781.47</v>
      </c>
      <c r="Z29" s="58">
        <f t="shared" si="33"/>
        <v>1051.8633333333337</v>
      </c>
      <c r="AA29" s="114"/>
      <c r="AB29" s="113">
        <v>7000</v>
      </c>
      <c r="AC29" s="58">
        <f t="shared" si="34"/>
        <v>5833.3333333333339</v>
      </c>
      <c r="AD29" s="114">
        <v>5701.9</v>
      </c>
      <c r="AE29" s="61">
        <f t="shared" si="35"/>
        <v>131.4333333333343</v>
      </c>
      <c r="AG29" s="116"/>
    </row>
    <row r="30" spans="1:36" ht="15.6" x14ac:dyDescent="0.3">
      <c r="A30" s="48" t="s">
        <v>121</v>
      </c>
      <c r="D30" s="57">
        <f t="shared" si="27"/>
        <v>0</v>
      </c>
      <c r="E30" s="389">
        <v>2000</v>
      </c>
      <c r="F30" s="415"/>
      <c r="G30" s="48"/>
      <c r="H30" s="57">
        <f>I30-P30</f>
        <v>0</v>
      </c>
      <c r="I30" s="315">
        <v>2000</v>
      </c>
      <c r="J30" s="83">
        <f>I30/12*Summary!$H$30</f>
        <v>1666.6666666666665</v>
      </c>
      <c r="K30" s="268">
        <v>1238</v>
      </c>
      <c r="L30" s="58">
        <f t="shared" si="28"/>
        <v>428.66666666666652</v>
      </c>
      <c r="O30" s="57">
        <f>P30-W30</f>
        <v>-2000</v>
      </c>
      <c r="P30" s="113">
        <v>2000</v>
      </c>
      <c r="Q30" s="83">
        <f t="shared" si="29"/>
        <v>2000</v>
      </c>
      <c r="R30" s="361">
        <v>1813</v>
      </c>
      <c r="S30" s="58">
        <f t="shared" si="30"/>
        <v>187</v>
      </c>
      <c r="T30" s="61"/>
      <c r="U30" s="61"/>
      <c r="V30" s="59">
        <f t="shared" si="31"/>
        <v>1700</v>
      </c>
      <c r="W30" s="113">
        <v>4000</v>
      </c>
      <c r="X30" s="58">
        <f t="shared" si="32"/>
        <v>3333.333333333333</v>
      </c>
      <c r="Y30" s="58">
        <v>1422.47</v>
      </c>
      <c r="Z30" s="58">
        <f t="shared" si="33"/>
        <v>1910.863333333333</v>
      </c>
      <c r="AA30" s="114"/>
      <c r="AB30" s="113">
        <v>2300</v>
      </c>
      <c r="AC30" s="58">
        <f t="shared" si="34"/>
        <v>1916.6666666666665</v>
      </c>
      <c r="AD30" s="114">
        <v>3436.12</v>
      </c>
      <c r="AE30" s="61">
        <f t="shared" si="35"/>
        <v>-1519.4533333333334</v>
      </c>
      <c r="AG30" s="116"/>
    </row>
    <row r="31" spans="1:36" ht="15.6" x14ac:dyDescent="0.3">
      <c r="A31" s="48"/>
      <c r="D31" s="57"/>
      <c r="E31" s="113"/>
      <c r="F31" s="415"/>
      <c r="G31" s="48"/>
      <c r="H31" s="57"/>
      <c r="J31" s="58"/>
      <c r="K31" s="83"/>
      <c r="L31" s="58"/>
      <c r="O31" s="57"/>
      <c r="P31" s="113"/>
      <c r="Q31" s="348"/>
      <c r="R31" s="361"/>
      <c r="S31" s="58"/>
      <c r="T31" s="61"/>
      <c r="U31" s="61"/>
      <c r="V31" s="59"/>
      <c r="W31" s="113"/>
      <c r="X31" s="58"/>
      <c r="Y31" s="58"/>
      <c r="Z31" s="58"/>
      <c r="AA31" s="114"/>
      <c r="AB31" s="113"/>
      <c r="AC31" s="58"/>
      <c r="AD31" s="114"/>
      <c r="AE31" s="61"/>
      <c r="AG31" s="116"/>
    </row>
    <row r="32" spans="1:36" ht="15" thickBot="1" x14ac:dyDescent="0.35">
      <c r="A32" s="135" t="s">
        <v>155</v>
      </c>
      <c r="D32" s="117">
        <f t="shared" ref="D32:E32" si="36">SUM(D27:D31)</f>
        <v>2980</v>
      </c>
      <c r="E32" s="118">
        <f t="shared" si="36"/>
        <v>34800</v>
      </c>
      <c r="F32" s="149"/>
      <c r="G32" s="147"/>
      <c r="H32" s="117">
        <f t="shared" ref="H32" si="37">SUM(H27:H31)</f>
        <v>3320</v>
      </c>
      <c r="I32" s="339">
        <f t="shared" ref="I32:L32" si="38">SUM(I27:I31)</f>
        <v>31820</v>
      </c>
      <c r="J32" s="119">
        <f t="shared" si="38"/>
        <v>26516.666666666668</v>
      </c>
      <c r="K32" s="119">
        <f t="shared" si="38"/>
        <v>22236</v>
      </c>
      <c r="L32" s="119">
        <f t="shared" si="38"/>
        <v>4280.6666666666679</v>
      </c>
      <c r="M32" s="121"/>
      <c r="N32" s="121"/>
      <c r="O32" s="117">
        <f>SUM(O27:O31)</f>
        <v>1500</v>
      </c>
      <c r="P32" s="118">
        <f>SUM(P27:P31)</f>
        <v>28500</v>
      </c>
      <c r="Q32" s="392">
        <f t="shared" ref="Q32:R32" si="39">SUM(Q27:Q31)</f>
        <v>28500</v>
      </c>
      <c r="R32" s="392">
        <f t="shared" si="39"/>
        <v>27319</v>
      </c>
      <c r="S32" s="119">
        <f t="shared" ref="S32" si="40">SUM(S27:S31)</f>
        <v>1181</v>
      </c>
      <c r="T32" s="114"/>
      <c r="U32" s="114"/>
      <c r="V32" s="117">
        <f t="shared" ref="V32:Z32" si="41">SUM(V27:V31)</f>
        <v>3700</v>
      </c>
      <c r="W32" s="118">
        <f t="shared" si="41"/>
        <v>27000</v>
      </c>
      <c r="X32" s="119">
        <f t="shared" si="41"/>
        <v>22499.999999999996</v>
      </c>
      <c r="Y32" s="119">
        <f t="shared" si="41"/>
        <v>24760.053000000004</v>
      </c>
      <c r="Z32" s="119">
        <f t="shared" si="41"/>
        <v>-2260.0530000000026</v>
      </c>
      <c r="AA32" s="114"/>
      <c r="AB32" s="118">
        <f>SUM(AB27:AB31)</f>
        <v>23300</v>
      </c>
      <c r="AC32" s="119">
        <f t="shared" ref="AC32:AE32" si="42">SUM(AC27:AC31)</f>
        <v>19416.666666666668</v>
      </c>
      <c r="AD32" s="119">
        <f t="shared" si="42"/>
        <v>25204.89</v>
      </c>
      <c r="AE32" s="119">
        <f t="shared" si="42"/>
        <v>-5788.2233333333315</v>
      </c>
      <c r="AG32" s="116"/>
    </row>
    <row r="33" spans="1:34" x14ac:dyDescent="0.3">
      <c r="A33" s="7"/>
      <c r="D33" s="112"/>
      <c r="E33" s="113"/>
      <c r="F33" s="415"/>
      <c r="G33" s="7"/>
      <c r="H33" s="112"/>
      <c r="J33" s="114"/>
      <c r="K33" s="114"/>
      <c r="L33" s="114"/>
      <c r="O33" s="112"/>
      <c r="P33" s="121"/>
      <c r="Q33" s="357"/>
      <c r="R33" s="361"/>
      <c r="S33" s="115"/>
      <c r="T33" s="114"/>
      <c r="U33" s="114"/>
      <c r="V33" s="112"/>
      <c r="W33" s="121"/>
      <c r="X33" s="114"/>
      <c r="Y33" s="114"/>
      <c r="Z33" s="115"/>
      <c r="AA33" s="114"/>
      <c r="AB33" s="121"/>
      <c r="AC33" s="114"/>
      <c r="AD33" s="122"/>
      <c r="AE33" s="114"/>
      <c r="AG33" s="116"/>
    </row>
    <row r="34" spans="1:34" x14ac:dyDescent="0.3">
      <c r="A34" s="7" t="s">
        <v>5</v>
      </c>
      <c r="D34" s="112"/>
      <c r="E34" s="113"/>
      <c r="F34" s="415"/>
      <c r="G34" s="7"/>
      <c r="H34" s="112"/>
      <c r="J34" s="114"/>
      <c r="K34" s="114"/>
      <c r="L34" s="114"/>
      <c r="O34" s="112"/>
      <c r="P34" s="113"/>
      <c r="Q34" s="357"/>
      <c r="R34" s="361"/>
      <c r="S34" s="115"/>
      <c r="T34" s="114"/>
      <c r="U34" s="114"/>
      <c r="V34" s="112"/>
      <c r="W34" s="113"/>
      <c r="X34" s="114"/>
      <c r="Y34" s="114"/>
      <c r="Z34" s="115"/>
      <c r="AA34" s="114"/>
      <c r="AB34" s="113"/>
      <c r="AC34" s="114"/>
      <c r="AD34" s="114"/>
      <c r="AE34" s="114"/>
      <c r="AG34" s="116"/>
    </row>
    <row r="35" spans="1:34" ht="15.6" x14ac:dyDescent="0.3">
      <c r="A35" s="8" t="s">
        <v>47</v>
      </c>
      <c r="D35" s="57">
        <f t="shared" ref="D35:D40" si="43">E35-I35</f>
        <v>0</v>
      </c>
      <c r="E35" s="389">
        <v>1200</v>
      </c>
      <c r="F35" s="415"/>
      <c r="G35" s="8"/>
      <c r="H35" s="57">
        <f t="shared" ref="H35:H41" si="44">I35-P35</f>
        <v>200</v>
      </c>
      <c r="I35" s="315">
        <v>1200</v>
      </c>
      <c r="J35" s="83">
        <f>I35/12*Summary!$H$30</f>
        <v>1000</v>
      </c>
      <c r="K35" s="268">
        <v>250</v>
      </c>
      <c r="L35" s="58">
        <f t="shared" ref="L35:L40" si="45">J35-K35</f>
        <v>750</v>
      </c>
      <c r="O35" s="57">
        <f t="shared" ref="O35:O41" si="46">P35-W35</f>
        <v>0</v>
      </c>
      <c r="P35" s="113">
        <v>1000</v>
      </c>
      <c r="Q35" s="83">
        <f t="shared" ref="Q35:Q41" si="47">P35</f>
        <v>1000</v>
      </c>
      <c r="R35" s="361">
        <v>2289</v>
      </c>
      <c r="S35" s="58">
        <f t="shared" ref="S35:S40" si="48">Q35-R35</f>
        <v>-1289</v>
      </c>
      <c r="T35" s="61"/>
      <c r="U35" s="61"/>
      <c r="V35" s="59">
        <f t="shared" ref="V35:V40" si="49">W35-AB35</f>
        <v>0</v>
      </c>
      <c r="W35" s="113">
        <v>1000</v>
      </c>
      <c r="X35" s="58">
        <f t="shared" ref="X35:X40" si="50">W35/12*10</f>
        <v>833.33333333333326</v>
      </c>
      <c r="Y35" s="58">
        <v>655.84</v>
      </c>
      <c r="Z35" s="58">
        <f t="shared" ref="Z35:Z40" si="51">X35-Y35</f>
        <v>177.49333333333323</v>
      </c>
      <c r="AA35" s="114"/>
      <c r="AB35" s="113">
        <v>1000</v>
      </c>
      <c r="AC35" s="58">
        <f t="shared" ref="AC35:AC40" si="52">AB35/12*10</f>
        <v>833.33333333333326</v>
      </c>
      <c r="AD35" s="114">
        <v>540</v>
      </c>
      <c r="AE35" s="61">
        <f t="shared" ref="AE35:AE40" si="53">AC35-AD35</f>
        <v>293.33333333333326</v>
      </c>
      <c r="AG35" s="116"/>
    </row>
    <row r="36" spans="1:34" ht="15.6" x14ac:dyDescent="0.3">
      <c r="A36" s="122" t="s">
        <v>122</v>
      </c>
      <c r="B36" s="30" t="s">
        <v>228</v>
      </c>
      <c r="D36" s="57">
        <f t="shared" si="43"/>
        <v>0</v>
      </c>
      <c r="E36" s="346">
        <v>150</v>
      </c>
      <c r="F36" s="393"/>
      <c r="G36" s="122"/>
      <c r="H36" s="57">
        <f t="shared" si="44"/>
        <v>-3.5999999999999943</v>
      </c>
      <c r="I36" s="303">
        <v>150</v>
      </c>
      <c r="J36" s="83">
        <f>I36/12*Summary!$H$30</f>
        <v>125</v>
      </c>
      <c r="K36" s="268">
        <v>0</v>
      </c>
      <c r="L36" s="58">
        <f t="shared" si="45"/>
        <v>125</v>
      </c>
      <c r="M36" s="243"/>
      <c r="N36" s="243"/>
      <c r="O36" s="57">
        <f t="shared" si="46"/>
        <v>3.5999999999999943</v>
      </c>
      <c r="P36" s="82">
        <f>W36+(W36*$P$71)</f>
        <v>153.6</v>
      </c>
      <c r="Q36" s="83">
        <f t="shared" si="47"/>
        <v>153.6</v>
      </c>
      <c r="R36" s="361">
        <v>0</v>
      </c>
      <c r="S36" s="58">
        <f t="shared" si="48"/>
        <v>153.6</v>
      </c>
      <c r="T36" s="61"/>
      <c r="U36" s="61"/>
      <c r="V36" s="59">
        <f t="shared" si="49"/>
        <v>0</v>
      </c>
      <c r="W36" s="113">
        <v>150</v>
      </c>
      <c r="X36" s="58">
        <f t="shared" si="50"/>
        <v>125</v>
      </c>
      <c r="Y36" s="58">
        <v>81.599999999999994</v>
      </c>
      <c r="Z36" s="58">
        <f t="shared" si="51"/>
        <v>43.400000000000006</v>
      </c>
      <c r="AA36" s="114"/>
      <c r="AB36" s="113">
        <v>150</v>
      </c>
      <c r="AC36" s="58">
        <f t="shared" si="52"/>
        <v>125</v>
      </c>
      <c r="AD36" s="114">
        <v>0</v>
      </c>
      <c r="AE36" s="61">
        <f t="shared" si="53"/>
        <v>125</v>
      </c>
      <c r="AG36" s="116"/>
    </row>
    <row r="37" spans="1:34" ht="15.6" x14ac:dyDescent="0.3">
      <c r="A37" s="48" t="s">
        <v>51</v>
      </c>
      <c r="D37" s="57">
        <f t="shared" si="43"/>
        <v>0</v>
      </c>
      <c r="E37" s="389">
        <v>323</v>
      </c>
      <c r="F37" s="415"/>
      <c r="G37" s="48"/>
      <c r="H37" s="57">
        <f t="shared" si="44"/>
        <v>0</v>
      </c>
      <c r="I37" s="315">
        <v>323</v>
      </c>
      <c r="J37" s="83">
        <f>I37/12*Summary!$H$30</f>
        <v>269.16666666666669</v>
      </c>
      <c r="K37" s="268">
        <v>322</v>
      </c>
      <c r="L37" s="58">
        <f t="shared" si="45"/>
        <v>-52.833333333333314</v>
      </c>
      <c r="O37" s="57">
        <f t="shared" si="46"/>
        <v>13</v>
      </c>
      <c r="P37" s="113">
        <v>323</v>
      </c>
      <c r="Q37" s="83">
        <f t="shared" si="47"/>
        <v>323</v>
      </c>
      <c r="R37" s="361">
        <v>322</v>
      </c>
      <c r="S37" s="58">
        <f t="shared" si="48"/>
        <v>1</v>
      </c>
      <c r="T37" s="61"/>
      <c r="U37" s="61"/>
      <c r="V37" s="59">
        <f t="shared" si="49"/>
        <v>310</v>
      </c>
      <c r="W37" s="113">
        <v>310</v>
      </c>
      <c r="X37" s="58">
        <f t="shared" si="50"/>
        <v>258.33333333333331</v>
      </c>
      <c r="Y37" s="58">
        <v>322.08</v>
      </c>
      <c r="Z37" s="58">
        <f t="shared" si="51"/>
        <v>-63.74666666666667</v>
      </c>
      <c r="AA37" s="114"/>
      <c r="AB37" s="113">
        <v>0</v>
      </c>
      <c r="AC37" s="58">
        <f t="shared" si="52"/>
        <v>0</v>
      </c>
      <c r="AD37" s="114">
        <v>308.88</v>
      </c>
      <c r="AE37" s="61">
        <f t="shared" si="53"/>
        <v>-308.88</v>
      </c>
      <c r="AG37" s="116"/>
    </row>
    <row r="38" spans="1:34" ht="15.6" x14ac:dyDescent="0.3">
      <c r="A38" s="48" t="s">
        <v>123</v>
      </c>
      <c r="D38" s="57">
        <f t="shared" si="43"/>
        <v>0</v>
      </c>
      <c r="E38" s="389">
        <v>355</v>
      </c>
      <c r="F38" s="415"/>
      <c r="G38" s="48"/>
      <c r="H38" s="57">
        <f t="shared" si="44"/>
        <v>55</v>
      </c>
      <c r="I38" s="315">
        <v>355</v>
      </c>
      <c r="J38" s="83">
        <f>I38/12*Summary!$H$30</f>
        <v>295.83333333333331</v>
      </c>
      <c r="K38" s="268">
        <v>175</v>
      </c>
      <c r="L38" s="58">
        <f t="shared" si="45"/>
        <v>120.83333333333331</v>
      </c>
      <c r="O38" s="57">
        <f t="shared" si="46"/>
        <v>180</v>
      </c>
      <c r="P38" s="113">
        <v>300</v>
      </c>
      <c r="Q38" s="83">
        <f t="shared" si="47"/>
        <v>300</v>
      </c>
      <c r="R38" s="361">
        <v>355</v>
      </c>
      <c r="S38" s="58">
        <f t="shared" si="48"/>
        <v>-55</v>
      </c>
      <c r="T38" s="61"/>
      <c r="U38" s="61"/>
      <c r="V38" s="59">
        <f t="shared" si="49"/>
        <v>-55</v>
      </c>
      <c r="W38" s="113">
        <v>120</v>
      </c>
      <c r="X38" s="58">
        <f t="shared" si="50"/>
        <v>100</v>
      </c>
      <c r="Y38" s="58">
        <v>175.2</v>
      </c>
      <c r="Z38" s="58">
        <f t="shared" si="51"/>
        <v>-75.199999999999989</v>
      </c>
      <c r="AA38" s="114"/>
      <c r="AB38" s="113">
        <v>175</v>
      </c>
      <c r="AC38" s="58">
        <f t="shared" si="52"/>
        <v>145.83333333333334</v>
      </c>
      <c r="AD38" s="114">
        <v>295.2</v>
      </c>
      <c r="AE38" s="61">
        <f t="shared" si="53"/>
        <v>-149.36666666666665</v>
      </c>
      <c r="AG38" s="116"/>
    </row>
    <row r="39" spans="1:34" ht="15.6" x14ac:dyDescent="0.3">
      <c r="A39" s="48" t="s">
        <v>103</v>
      </c>
      <c r="D39" s="57">
        <f t="shared" si="43"/>
        <v>0</v>
      </c>
      <c r="E39" s="389">
        <v>0</v>
      </c>
      <c r="F39" s="415"/>
      <c r="G39" s="48"/>
      <c r="H39" s="57">
        <f t="shared" si="44"/>
        <v>0</v>
      </c>
      <c r="I39" s="315">
        <v>0</v>
      </c>
      <c r="J39" s="83">
        <f>I39/12*Summary!$H$30</f>
        <v>0</v>
      </c>
      <c r="K39" s="268">
        <v>0</v>
      </c>
      <c r="L39" s="58">
        <f t="shared" si="45"/>
        <v>0</v>
      </c>
      <c r="O39" s="57">
        <f t="shared" si="46"/>
        <v>-200</v>
      </c>
      <c r="P39" s="113">
        <v>0</v>
      </c>
      <c r="Q39" s="83">
        <f t="shared" si="47"/>
        <v>0</v>
      </c>
      <c r="R39" s="361">
        <v>0</v>
      </c>
      <c r="S39" s="58">
        <f t="shared" si="48"/>
        <v>0</v>
      </c>
      <c r="T39" s="61"/>
      <c r="U39" s="61"/>
      <c r="V39" s="59">
        <f t="shared" si="49"/>
        <v>200</v>
      </c>
      <c r="W39" s="113">
        <v>200</v>
      </c>
      <c r="X39" s="58">
        <f t="shared" si="50"/>
        <v>166.66666666666669</v>
      </c>
      <c r="Y39" s="58">
        <v>0</v>
      </c>
      <c r="Z39" s="58">
        <f t="shared" si="51"/>
        <v>166.66666666666669</v>
      </c>
      <c r="AA39" s="114"/>
      <c r="AB39" s="113"/>
      <c r="AC39" s="58">
        <f t="shared" si="52"/>
        <v>0</v>
      </c>
      <c r="AD39" s="114">
        <v>85.58</v>
      </c>
      <c r="AE39" s="61">
        <f t="shared" si="53"/>
        <v>-85.58</v>
      </c>
      <c r="AG39" s="116"/>
    </row>
    <row r="40" spans="1:34" ht="15.6" x14ac:dyDescent="0.3">
      <c r="A40" s="48" t="s">
        <v>104</v>
      </c>
      <c r="D40" s="57">
        <f t="shared" si="43"/>
        <v>-100</v>
      </c>
      <c r="E40" s="389">
        <v>200</v>
      </c>
      <c r="F40" s="415"/>
      <c r="G40" s="48"/>
      <c r="H40" s="57">
        <f t="shared" si="44"/>
        <v>200</v>
      </c>
      <c r="I40" s="315">
        <v>300</v>
      </c>
      <c r="J40" s="83">
        <f>I40/12*Summary!$H$30</f>
        <v>250</v>
      </c>
      <c r="K40" s="268">
        <v>260</v>
      </c>
      <c r="L40" s="58">
        <f t="shared" si="45"/>
        <v>-10</v>
      </c>
      <c r="O40" s="57">
        <f t="shared" si="46"/>
        <v>-650</v>
      </c>
      <c r="P40" s="113">
        <v>100</v>
      </c>
      <c r="Q40" s="83">
        <f t="shared" si="47"/>
        <v>100</v>
      </c>
      <c r="R40" s="361">
        <v>591</v>
      </c>
      <c r="S40" s="58">
        <f t="shared" si="48"/>
        <v>-491</v>
      </c>
      <c r="T40" s="61"/>
      <c r="U40" s="61"/>
      <c r="V40" s="59">
        <f t="shared" si="49"/>
        <v>750</v>
      </c>
      <c r="W40" s="113">
        <v>750</v>
      </c>
      <c r="X40" s="58">
        <f t="shared" si="50"/>
        <v>625</v>
      </c>
      <c r="Y40" s="58">
        <v>1317.79</v>
      </c>
      <c r="Z40" s="58">
        <f t="shared" si="51"/>
        <v>-692.79</v>
      </c>
      <c r="AA40" s="114"/>
      <c r="AB40" s="113"/>
      <c r="AC40" s="58">
        <f t="shared" si="52"/>
        <v>0</v>
      </c>
      <c r="AD40" s="114">
        <v>2964</v>
      </c>
      <c r="AE40" s="61">
        <f t="shared" si="53"/>
        <v>-2964</v>
      </c>
      <c r="AG40" s="116"/>
    </row>
    <row r="41" spans="1:34" ht="15.6" x14ac:dyDescent="0.3">
      <c r="A41" s="48" t="s">
        <v>124</v>
      </c>
      <c r="D41" s="57">
        <f>E41-I41</f>
        <v>0</v>
      </c>
      <c r="E41" s="389"/>
      <c r="F41" s="415"/>
      <c r="G41" s="169"/>
      <c r="H41" s="57">
        <f t="shared" si="44"/>
        <v>0</v>
      </c>
      <c r="I41" s="315">
        <v>0</v>
      </c>
      <c r="J41" s="83">
        <f>I41/12*Summary!$H$30</f>
        <v>0</v>
      </c>
      <c r="K41" s="268">
        <v>0</v>
      </c>
      <c r="L41" s="58">
        <f>J41-K41</f>
        <v>0</v>
      </c>
      <c r="O41" s="57">
        <f t="shared" si="46"/>
        <v>0</v>
      </c>
      <c r="P41" s="113">
        <v>0</v>
      </c>
      <c r="Q41" s="83">
        <f t="shared" si="47"/>
        <v>0</v>
      </c>
      <c r="R41" s="361">
        <v>0</v>
      </c>
      <c r="S41" s="58">
        <f>Q41-R41</f>
        <v>0</v>
      </c>
      <c r="T41" s="61"/>
      <c r="U41" s="61"/>
      <c r="V41" s="59">
        <f>W41-AB41</f>
        <v>0</v>
      </c>
      <c r="W41" s="113"/>
      <c r="X41" s="58">
        <f>W41/12*10</f>
        <v>0</v>
      </c>
      <c r="Y41" s="58">
        <v>0</v>
      </c>
      <c r="Z41" s="58">
        <f>X41-Y41</f>
        <v>0</v>
      </c>
      <c r="AA41" s="114"/>
      <c r="AB41" s="113"/>
      <c r="AC41" s="114"/>
      <c r="AD41" s="114"/>
      <c r="AE41" s="114"/>
      <c r="AG41" s="116"/>
    </row>
    <row r="42" spans="1:34" ht="15.6" x14ac:dyDescent="0.3">
      <c r="A42" s="48"/>
      <c r="D42" s="57"/>
      <c r="E42" s="113"/>
      <c r="F42" s="415"/>
      <c r="G42" s="48"/>
      <c r="H42" s="57"/>
      <c r="J42" s="58"/>
      <c r="K42" s="83"/>
      <c r="L42" s="58"/>
      <c r="O42" s="57"/>
      <c r="P42" s="113"/>
      <c r="Q42" s="364"/>
      <c r="R42" s="361"/>
      <c r="S42" s="58"/>
      <c r="T42" s="61"/>
      <c r="U42" s="61"/>
      <c r="V42" s="59"/>
      <c r="W42" s="113"/>
      <c r="X42" s="58"/>
      <c r="Y42" s="58"/>
      <c r="Z42" s="58"/>
      <c r="AA42" s="114"/>
      <c r="AB42" s="113"/>
      <c r="AC42" s="114"/>
      <c r="AD42" s="114"/>
      <c r="AE42" s="114"/>
      <c r="AG42" s="116"/>
      <c r="AH42" s="46"/>
    </row>
    <row r="43" spans="1:34" ht="15" thickBot="1" x14ac:dyDescent="0.35">
      <c r="A43" s="135" t="s">
        <v>156</v>
      </c>
      <c r="D43" s="117">
        <f>SUM(D34:D42)</f>
        <v>-100</v>
      </c>
      <c r="E43" s="118">
        <f>SUM(E34:E42)</f>
        <v>2228</v>
      </c>
      <c r="F43" s="149"/>
      <c r="G43" s="147"/>
      <c r="H43" s="117">
        <f>SUM(H34:H42)</f>
        <v>451.4</v>
      </c>
      <c r="I43" s="339">
        <f>SUM(I34:I42)</f>
        <v>2328</v>
      </c>
      <c r="J43" s="119">
        <f>SUM(J34:J42)</f>
        <v>1940</v>
      </c>
      <c r="K43" s="119">
        <f>SUM(K34:K42)</f>
        <v>1007</v>
      </c>
      <c r="L43" s="119">
        <f>SUM(L34:L42)</f>
        <v>933</v>
      </c>
      <c r="M43" s="121"/>
      <c r="N43" s="121"/>
      <c r="O43" s="117">
        <f>SUM(O34:O42)</f>
        <v>-653.4</v>
      </c>
      <c r="P43" s="118">
        <f>SUM(P34:P42)</f>
        <v>1876.6</v>
      </c>
      <c r="Q43" s="392">
        <f>SUM(Q34:Q42)</f>
        <v>1876.6</v>
      </c>
      <c r="R43" s="392">
        <f>SUM(R34:R42)</f>
        <v>3557</v>
      </c>
      <c r="S43" s="119">
        <f>SUM(S34:S42)</f>
        <v>-1680.4</v>
      </c>
      <c r="T43" s="114"/>
      <c r="U43" s="114"/>
      <c r="V43" s="117">
        <f>SUM(V34:V42)</f>
        <v>1205</v>
      </c>
      <c r="W43" s="118">
        <f>SUM(W34:W42)</f>
        <v>2530</v>
      </c>
      <c r="X43" s="119">
        <f>SUM(X34:X42)</f>
        <v>2108.333333333333</v>
      </c>
      <c r="Y43" s="119">
        <f>SUM(Y34:Y42)</f>
        <v>2552.5100000000002</v>
      </c>
      <c r="Z43" s="119">
        <f>SUM(Z34:Z42)</f>
        <v>-444.17666666666673</v>
      </c>
      <c r="AA43" s="114"/>
      <c r="AB43" s="118">
        <f>SUM(AB34:AB42)</f>
        <v>1325</v>
      </c>
      <c r="AC43" s="119">
        <f>SUM(AC34:AC42)</f>
        <v>1104.1666666666665</v>
      </c>
      <c r="AD43" s="119">
        <f>SUM(AD34:AD42)</f>
        <v>4193.66</v>
      </c>
      <c r="AE43" s="119">
        <f>SUM(AE34:AE42)</f>
        <v>-3089.4933333333333</v>
      </c>
      <c r="AG43" s="116"/>
    </row>
    <row r="44" spans="1:34" x14ac:dyDescent="0.3">
      <c r="A44" s="7"/>
      <c r="D44" s="112"/>
      <c r="E44" s="113"/>
      <c r="F44" s="415"/>
      <c r="G44" s="7"/>
      <c r="H44" s="112"/>
      <c r="J44" s="114"/>
      <c r="K44" s="114"/>
      <c r="L44" s="114"/>
      <c r="O44" s="112"/>
      <c r="P44" s="121"/>
      <c r="Q44" s="357"/>
      <c r="R44" s="361"/>
      <c r="S44" s="115"/>
      <c r="T44" s="114"/>
      <c r="U44" s="114"/>
      <c r="V44" s="112"/>
      <c r="W44" s="121"/>
      <c r="X44" s="114"/>
      <c r="Y44" s="114"/>
      <c r="Z44" s="115"/>
      <c r="AA44" s="114"/>
      <c r="AB44" s="121"/>
      <c r="AC44" s="114"/>
      <c r="AD44" s="122"/>
      <c r="AE44" s="114"/>
      <c r="AG44" s="116"/>
    </row>
    <row r="45" spans="1:34" x14ac:dyDescent="0.3">
      <c r="A45" s="7" t="s">
        <v>23</v>
      </c>
      <c r="D45" s="112"/>
      <c r="E45" s="113"/>
      <c r="F45" s="415"/>
      <c r="G45" s="7"/>
      <c r="H45" s="112"/>
      <c r="J45" s="114"/>
      <c r="K45" s="114"/>
      <c r="L45" s="114"/>
      <c r="O45" s="112"/>
      <c r="P45" s="113"/>
      <c r="Q45" s="357"/>
      <c r="R45" s="361"/>
      <c r="S45" s="115"/>
      <c r="T45" s="114"/>
      <c r="U45" s="114"/>
      <c r="V45" s="112"/>
      <c r="W45" s="113"/>
      <c r="X45" s="114"/>
      <c r="Y45" s="114"/>
      <c r="Z45" s="115"/>
      <c r="AA45" s="114"/>
      <c r="AB45" s="113"/>
      <c r="AC45" s="114"/>
      <c r="AD45" s="114"/>
      <c r="AE45" s="114"/>
      <c r="AG45" s="116"/>
    </row>
    <row r="46" spans="1:34" ht="15.6" x14ac:dyDescent="0.3">
      <c r="A46" s="8" t="s">
        <v>11</v>
      </c>
      <c r="D46" s="57">
        <f t="shared" ref="D46:D55" si="54">E46-I46</f>
        <v>-1000</v>
      </c>
      <c r="E46" s="389">
        <v>500</v>
      </c>
      <c r="F46" s="415"/>
      <c r="G46" s="8"/>
      <c r="H46" s="57">
        <f t="shared" ref="H46:H55" si="55">I46-P46</f>
        <v>500</v>
      </c>
      <c r="I46" s="315">
        <v>1500</v>
      </c>
      <c r="J46" s="83">
        <f>I46/12*Summary!$H$30</f>
        <v>1250</v>
      </c>
      <c r="K46" s="268">
        <v>212</v>
      </c>
      <c r="L46" s="58">
        <f t="shared" ref="L46:L55" si="56">J46-K46</f>
        <v>1038</v>
      </c>
      <c r="O46" s="57">
        <f t="shared" ref="O46:O53" si="57">P46-W46</f>
        <v>-1000</v>
      </c>
      <c r="P46" s="113">
        <v>1000</v>
      </c>
      <c r="Q46" s="83">
        <f t="shared" ref="Q46:Q55" si="58">P46</f>
        <v>1000</v>
      </c>
      <c r="R46" s="361">
        <v>1792</v>
      </c>
      <c r="S46" s="58">
        <f t="shared" ref="S46:S55" si="59">Q46-R46</f>
        <v>-792</v>
      </c>
      <c r="T46" s="61"/>
      <c r="U46" s="61"/>
      <c r="V46" s="59">
        <f t="shared" ref="V46:V55" si="60">W46-AB46</f>
        <v>-1500</v>
      </c>
      <c r="W46" s="113">
        <v>2000</v>
      </c>
      <c r="X46" s="58">
        <f t="shared" ref="X46:X55" si="61">W46/12*10</f>
        <v>1666.6666666666665</v>
      </c>
      <c r="Y46" s="58">
        <v>760.17</v>
      </c>
      <c r="Z46" s="58">
        <f t="shared" ref="Z46:Z55" si="62">X46-Y46</f>
        <v>906.49666666666656</v>
      </c>
      <c r="AA46" s="114"/>
      <c r="AB46" s="113">
        <v>3500</v>
      </c>
      <c r="AC46" s="58">
        <f t="shared" ref="AC46:AC53" si="63">AB46/12*10</f>
        <v>2916.666666666667</v>
      </c>
      <c r="AD46" s="114">
        <v>3591.24</v>
      </c>
      <c r="AE46" s="61">
        <f t="shared" ref="AE46:AE53" si="64">AC46-AD46</f>
        <v>-674.57333333333281</v>
      </c>
      <c r="AG46" s="116"/>
    </row>
    <row r="47" spans="1:34" ht="15.6" x14ac:dyDescent="0.3">
      <c r="A47" s="122" t="s">
        <v>78</v>
      </c>
      <c r="D47" s="57">
        <f t="shared" si="54"/>
        <v>0</v>
      </c>
      <c r="E47" s="346">
        <v>168</v>
      </c>
      <c r="F47" s="393"/>
      <c r="G47" s="122"/>
      <c r="H47" s="57">
        <f t="shared" si="55"/>
        <v>-36.800000000000011</v>
      </c>
      <c r="I47" s="303">
        <v>168</v>
      </c>
      <c r="J47" s="83">
        <f>I47/12*Summary!$H$30</f>
        <v>140</v>
      </c>
      <c r="K47" s="268">
        <v>150</v>
      </c>
      <c r="L47" s="58">
        <f t="shared" si="56"/>
        <v>-10</v>
      </c>
      <c r="M47" s="243"/>
      <c r="N47" s="243"/>
      <c r="O47" s="57">
        <f t="shared" si="57"/>
        <v>4.8000000000000114</v>
      </c>
      <c r="P47" s="82">
        <f>W47+(W47*$P$71)</f>
        <v>204.8</v>
      </c>
      <c r="Q47" s="83">
        <f t="shared" si="58"/>
        <v>204.8</v>
      </c>
      <c r="R47" s="361">
        <v>168</v>
      </c>
      <c r="S47" s="58">
        <f t="shared" si="59"/>
        <v>36.800000000000011</v>
      </c>
      <c r="T47" s="61"/>
      <c r="U47" s="61"/>
      <c r="V47" s="59">
        <f t="shared" si="60"/>
        <v>80</v>
      </c>
      <c r="W47" s="113">
        <v>200</v>
      </c>
      <c r="X47" s="58">
        <f t="shared" si="61"/>
        <v>166.66666666666669</v>
      </c>
      <c r="Y47" s="58">
        <v>917.24</v>
      </c>
      <c r="Z47" s="58">
        <f t="shared" si="62"/>
        <v>-750.57333333333327</v>
      </c>
      <c r="AA47" s="114"/>
      <c r="AB47" s="113">
        <v>120</v>
      </c>
      <c r="AC47" s="58">
        <f t="shared" si="63"/>
        <v>100</v>
      </c>
      <c r="AD47" s="114">
        <v>58</v>
      </c>
      <c r="AE47" s="61">
        <f t="shared" si="64"/>
        <v>42</v>
      </c>
      <c r="AG47" s="116"/>
    </row>
    <row r="48" spans="1:34" ht="15.6" x14ac:dyDescent="0.3">
      <c r="A48" s="48" t="s">
        <v>13</v>
      </c>
      <c r="D48" s="57">
        <f t="shared" si="54"/>
        <v>0</v>
      </c>
      <c r="E48" s="346">
        <v>138</v>
      </c>
      <c r="F48" s="393"/>
      <c r="G48" s="48"/>
      <c r="H48" s="57">
        <f t="shared" si="55"/>
        <v>-66.800000000000011</v>
      </c>
      <c r="I48" s="303">
        <v>138</v>
      </c>
      <c r="J48" s="83">
        <f>I48/12*Summary!$H$30</f>
        <v>115</v>
      </c>
      <c r="K48" s="268">
        <v>121</v>
      </c>
      <c r="L48" s="58">
        <f t="shared" si="56"/>
        <v>-6</v>
      </c>
      <c r="M48" s="243"/>
      <c r="N48" s="243"/>
      <c r="O48" s="57">
        <f t="shared" si="57"/>
        <v>4.8000000000000114</v>
      </c>
      <c r="P48" s="82">
        <f>W48+(W48*$P$71)</f>
        <v>204.8</v>
      </c>
      <c r="Q48" s="83">
        <f t="shared" si="58"/>
        <v>204.8</v>
      </c>
      <c r="R48" s="361">
        <v>271</v>
      </c>
      <c r="S48" s="58">
        <f t="shared" si="59"/>
        <v>-66.199999999999989</v>
      </c>
      <c r="T48" s="61"/>
      <c r="U48" s="61"/>
      <c r="V48" s="59">
        <f t="shared" si="60"/>
        <v>100</v>
      </c>
      <c r="W48" s="113">
        <v>200</v>
      </c>
      <c r="X48" s="58">
        <f t="shared" si="61"/>
        <v>166.66666666666669</v>
      </c>
      <c r="Y48" s="58">
        <v>216.16</v>
      </c>
      <c r="Z48" s="58">
        <f t="shared" si="62"/>
        <v>-49.493333333333311</v>
      </c>
      <c r="AA48" s="114"/>
      <c r="AB48" s="113">
        <v>100</v>
      </c>
      <c r="AC48" s="58">
        <f t="shared" si="63"/>
        <v>83.333333333333343</v>
      </c>
      <c r="AD48" s="114">
        <v>0</v>
      </c>
      <c r="AE48" s="61">
        <f t="shared" si="64"/>
        <v>83.333333333333343</v>
      </c>
      <c r="AG48" s="116"/>
    </row>
    <row r="49" spans="1:34" ht="15.6" x14ac:dyDescent="0.3">
      <c r="A49" s="48" t="s">
        <v>12</v>
      </c>
      <c r="D49" s="57">
        <f t="shared" si="54"/>
        <v>-200</v>
      </c>
      <c r="E49" s="346">
        <v>50</v>
      </c>
      <c r="F49" s="393"/>
      <c r="G49" s="48"/>
      <c r="H49" s="57">
        <f t="shared" si="55"/>
        <v>96.4</v>
      </c>
      <c r="I49" s="303">
        <v>250</v>
      </c>
      <c r="J49" s="83">
        <f>I49/12*Summary!$H$30</f>
        <v>208.33333333333331</v>
      </c>
      <c r="K49" s="268">
        <v>0</v>
      </c>
      <c r="L49" s="58">
        <f t="shared" si="56"/>
        <v>208.33333333333331</v>
      </c>
      <c r="M49" s="243"/>
      <c r="N49" s="243"/>
      <c r="O49" s="57">
        <f t="shared" si="57"/>
        <v>3.5999999999999943</v>
      </c>
      <c r="P49" s="82">
        <f>W49+(W49*$P$71)</f>
        <v>153.6</v>
      </c>
      <c r="Q49" s="83">
        <f t="shared" si="58"/>
        <v>153.6</v>
      </c>
      <c r="R49" s="361">
        <v>240</v>
      </c>
      <c r="S49" s="58">
        <f t="shared" si="59"/>
        <v>-86.4</v>
      </c>
      <c r="T49" s="61"/>
      <c r="U49" s="61"/>
      <c r="V49" s="59">
        <f t="shared" si="60"/>
        <v>-150</v>
      </c>
      <c r="W49" s="113">
        <v>150</v>
      </c>
      <c r="X49" s="58">
        <f t="shared" si="61"/>
        <v>125</v>
      </c>
      <c r="Y49" s="58">
        <v>370.84</v>
      </c>
      <c r="Z49" s="58">
        <f t="shared" si="62"/>
        <v>-245.83999999999997</v>
      </c>
      <c r="AA49" s="114"/>
      <c r="AB49" s="113">
        <v>300</v>
      </c>
      <c r="AC49" s="58">
        <f t="shared" si="63"/>
        <v>250</v>
      </c>
      <c r="AD49" s="114">
        <v>143.82</v>
      </c>
      <c r="AE49" s="61">
        <f t="shared" si="64"/>
        <v>106.18</v>
      </c>
      <c r="AG49" s="116"/>
    </row>
    <row r="50" spans="1:34" ht="15.6" x14ac:dyDescent="0.3">
      <c r="A50" s="48" t="s">
        <v>125</v>
      </c>
      <c r="D50" s="57">
        <f t="shared" si="54"/>
        <v>0</v>
      </c>
      <c r="E50" s="346">
        <v>50</v>
      </c>
      <c r="F50" s="393"/>
      <c r="G50" s="48"/>
      <c r="H50" s="57">
        <f t="shared" si="55"/>
        <v>-1.2000000000000028</v>
      </c>
      <c r="I50" s="303">
        <v>50</v>
      </c>
      <c r="J50" s="83">
        <f>I50/12*Summary!$H$30</f>
        <v>41.666666666666671</v>
      </c>
      <c r="K50" s="268">
        <v>0</v>
      </c>
      <c r="L50" s="58">
        <f t="shared" si="56"/>
        <v>41.666666666666671</v>
      </c>
      <c r="M50" s="243"/>
      <c r="N50" s="243"/>
      <c r="O50" s="57">
        <f t="shared" si="57"/>
        <v>1.2000000000000028</v>
      </c>
      <c r="P50" s="82">
        <f>W50+(W50*$P$71)</f>
        <v>51.2</v>
      </c>
      <c r="Q50" s="83">
        <f t="shared" si="58"/>
        <v>51.2</v>
      </c>
      <c r="R50" s="361">
        <v>228</v>
      </c>
      <c r="S50" s="58">
        <f t="shared" si="59"/>
        <v>-176.8</v>
      </c>
      <c r="T50" s="61"/>
      <c r="U50" s="61"/>
      <c r="V50" s="59">
        <f t="shared" si="60"/>
        <v>0</v>
      </c>
      <c r="W50" s="113">
        <v>50</v>
      </c>
      <c r="X50" s="58">
        <f t="shared" si="61"/>
        <v>41.666666666666671</v>
      </c>
      <c r="Y50" s="58">
        <v>516</v>
      </c>
      <c r="Z50" s="58">
        <f t="shared" si="62"/>
        <v>-474.33333333333331</v>
      </c>
      <c r="AA50" s="114"/>
      <c r="AB50" s="113">
        <v>50</v>
      </c>
      <c r="AC50" s="58">
        <f t="shared" si="63"/>
        <v>41.666666666666671</v>
      </c>
      <c r="AD50" s="114">
        <v>30</v>
      </c>
      <c r="AE50" s="61">
        <f t="shared" si="64"/>
        <v>11.666666666666671</v>
      </c>
      <c r="AG50" s="116"/>
    </row>
    <row r="51" spans="1:34" ht="15.6" x14ac:dyDescent="0.3">
      <c r="A51" s="48" t="s">
        <v>52</v>
      </c>
      <c r="D51" s="57">
        <f t="shared" si="54"/>
        <v>-200</v>
      </c>
      <c r="E51" s="389">
        <v>150</v>
      </c>
      <c r="F51" s="415"/>
      <c r="G51" s="48"/>
      <c r="H51" s="57">
        <f t="shared" si="55"/>
        <v>-50</v>
      </c>
      <c r="I51" s="315">
        <v>350</v>
      </c>
      <c r="J51" s="83">
        <f>I51/12*Summary!$H$30</f>
        <v>291.66666666666669</v>
      </c>
      <c r="K51" s="268">
        <v>0</v>
      </c>
      <c r="L51" s="58">
        <f t="shared" si="56"/>
        <v>291.66666666666669</v>
      </c>
      <c r="O51" s="57">
        <f t="shared" si="57"/>
        <v>100</v>
      </c>
      <c r="P51" s="113">
        <v>400</v>
      </c>
      <c r="Q51" s="83">
        <f t="shared" si="58"/>
        <v>400</v>
      </c>
      <c r="R51" s="361">
        <v>1300</v>
      </c>
      <c r="S51" s="58">
        <f t="shared" si="59"/>
        <v>-900</v>
      </c>
      <c r="T51" s="61"/>
      <c r="U51" s="61"/>
      <c r="V51" s="59">
        <f t="shared" si="60"/>
        <v>0</v>
      </c>
      <c r="W51" s="113">
        <v>300</v>
      </c>
      <c r="X51" s="58">
        <f t="shared" si="61"/>
        <v>250</v>
      </c>
      <c r="Y51" s="58">
        <v>256</v>
      </c>
      <c r="Z51" s="58">
        <f t="shared" si="62"/>
        <v>-6</v>
      </c>
      <c r="AA51" s="114"/>
      <c r="AB51" s="113">
        <v>300</v>
      </c>
      <c r="AC51" s="58">
        <f t="shared" si="63"/>
        <v>250</v>
      </c>
      <c r="AD51" s="114">
        <v>2075</v>
      </c>
      <c r="AE51" s="61">
        <f t="shared" si="64"/>
        <v>-1825</v>
      </c>
      <c r="AG51" s="116"/>
    </row>
    <row r="52" spans="1:34" ht="15.6" x14ac:dyDescent="0.3">
      <c r="A52" s="48" t="s">
        <v>16</v>
      </c>
      <c r="D52" s="57">
        <f t="shared" si="54"/>
        <v>-100</v>
      </c>
      <c r="E52" s="346">
        <v>0</v>
      </c>
      <c r="F52" s="393"/>
      <c r="G52" s="48"/>
      <c r="H52" s="57">
        <f t="shared" si="55"/>
        <v>-104.80000000000001</v>
      </c>
      <c r="I52" s="303">
        <v>100</v>
      </c>
      <c r="J52" s="83">
        <f>I52/12*Summary!$H$30</f>
        <v>83.333333333333343</v>
      </c>
      <c r="K52" s="268">
        <v>52</v>
      </c>
      <c r="L52" s="58">
        <f t="shared" si="56"/>
        <v>31.333333333333343</v>
      </c>
      <c r="M52" s="243"/>
      <c r="N52" s="243"/>
      <c r="O52" s="57">
        <f t="shared" si="57"/>
        <v>4.8000000000000114</v>
      </c>
      <c r="P52" s="82">
        <f>W52+(W52*$P$71)</f>
        <v>204.8</v>
      </c>
      <c r="Q52" s="83">
        <f t="shared" si="58"/>
        <v>204.8</v>
      </c>
      <c r="R52" s="361">
        <v>0</v>
      </c>
      <c r="S52" s="58">
        <f t="shared" si="59"/>
        <v>204.8</v>
      </c>
      <c r="T52" s="61"/>
      <c r="U52" s="61"/>
      <c r="V52" s="59">
        <f t="shared" si="60"/>
        <v>0</v>
      </c>
      <c r="W52" s="113">
        <v>200</v>
      </c>
      <c r="X52" s="58">
        <f t="shared" si="61"/>
        <v>166.66666666666669</v>
      </c>
      <c r="Y52" s="58">
        <v>22.86</v>
      </c>
      <c r="Z52" s="58">
        <f t="shared" si="62"/>
        <v>143.80666666666667</v>
      </c>
      <c r="AA52" s="114"/>
      <c r="AB52" s="113">
        <v>200</v>
      </c>
      <c r="AC52" s="58">
        <f t="shared" si="63"/>
        <v>166.66666666666669</v>
      </c>
      <c r="AD52" s="114">
        <v>443.97</v>
      </c>
      <c r="AE52" s="61">
        <f t="shared" si="64"/>
        <v>-277.30333333333334</v>
      </c>
      <c r="AG52" s="178"/>
    </row>
    <row r="53" spans="1:34" ht="15.6" x14ac:dyDescent="0.3">
      <c r="A53" s="163" t="s">
        <v>39</v>
      </c>
      <c r="D53" s="57">
        <f t="shared" si="54"/>
        <v>900</v>
      </c>
      <c r="E53" s="389">
        <v>1500</v>
      </c>
      <c r="F53" s="415"/>
      <c r="G53" s="163"/>
      <c r="H53" s="57">
        <f t="shared" si="55"/>
        <v>-600</v>
      </c>
      <c r="I53" s="315">
        <v>600</v>
      </c>
      <c r="J53" s="83">
        <f>I53/12*Summary!$H$30</f>
        <v>500</v>
      </c>
      <c r="K53" s="268">
        <v>1645</v>
      </c>
      <c r="L53" s="58">
        <f t="shared" si="56"/>
        <v>-1145</v>
      </c>
      <c r="O53" s="57">
        <f t="shared" si="57"/>
        <v>0</v>
      </c>
      <c r="P53" s="113">
        <v>1200</v>
      </c>
      <c r="Q53" s="83">
        <f t="shared" si="58"/>
        <v>1200</v>
      </c>
      <c r="R53" s="361">
        <v>499</v>
      </c>
      <c r="S53" s="58">
        <f t="shared" si="59"/>
        <v>701</v>
      </c>
      <c r="T53" s="61"/>
      <c r="U53" s="61"/>
      <c r="V53" s="59">
        <f t="shared" si="60"/>
        <v>1000</v>
      </c>
      <c r="W53" s="113">
        <v>1200</v>
      </c>
      <c r="X53" s="58">
        <f t="shared" si="61"/>
        <v>1000</v>
      </c>
      <c r="Y53" s="58">
        <v>2893.64</v>
      </c>
      <c r="Z53" s="58">
        <f t="shared" si="62"/>
        <v>-1893.6399999999999</v>
      </c>
      <c r="AA53" s="114"/>
      <c r="AB53" s="113">
        <v>200</v>
      </c>
      <c r="AC53" s="58">
        <f t="shared" si="63"/>
        <v>166.66666666666669</v>
      </c>
      <c r="AD53" s="114">
        <v>773.47</v>
      </c>
      <c r="AE53" s="61">
        <f t="shared" si="64"/>
        <v>-606.80333333333328</v>
      </c>
      <c r="AG53" s="116"/>
    </row>
    <row r="54" spans="1:34" ht="15.6" x14ac:dyDescent="0.3">
      <c r="A54" s="163" t="s">
        <v>126</v>
      </c>
      <c r="D54" s="57">
        <f t="shared" ref="D54" si="65">E54-I54</f>
        <v>-105</v>
      </c>
      <c r="E54" s="389">
        <v>550</v>
      </c>
      <c r="F54" s="415"/>
      <c r="G54" s="163"/>
      <c r="H54" s="57">
        <f t="shared" ref="H54" si="66">I54-P54</f>
        <v>0</v>
      </c>
      <c r="I54" s="315">
        <v>655</v>
      </c>
      <c r="J54" s="83">
        <f>I54/12*Summary!$H$30</f>
        <v>545.83333333333337</v>
      </c>
      <c r="K54" s="268">
        <v>300</v>
      </c>
      <c r="L54" s="58">
        <f t="shared" ref="L54" si="67">J54-K54</f>
        <v>245.83333333333337</v>
      </c>
      <c r="O54" s="57">
        <v>655</v>
      </c>
      <c r="P54" s="113">
        <v>655</v>
      </c>
      <c r="Q54" s="83">
        <f t="shared" si="58"/>
        <v>655</v>
      </c>
      <c r="R54" s="361">
        <v>708</v>
      </c>
      <c r="S54" s="58">
        <f t="shared" ref="S54" si="68">Q54-R54</f>
        <v>-53</v>
      </c>
      <c r="T54" s="61"/>
      <c r="U54" s="61"/>
      <c r="V54" s="59">
        <f t="shared" ref="V54" si="69">W54-AB54</f>
        <v>0</v>
      </c>
      <c r="W54" s="113"/>
      <c r="X54" s="58">
        <f t="shared" ref="X54" si="70">W54/12*10</f>
        <v>0</v>
      </c>
      <c r="Y54" s="58">
        <v>0</v>
      </c>
      <c r="Z54" s="58">
        <f t="shared" ref="Z54" si="71">X54-Y54</f>
        <v>0</v>
      </c>
      <c r="AA54" s="114"/>
      <c r="AB54" s="113"/>
      <c r="AC54" s="114"/>
      <c r="AD54" s="114"/>
      <c r="AE54" s="114"/>
      <c r="AG54" s="116"/>
    </row>
    <row r="55" spans="1:34" ht="15.6" x14ac:dyDescent="0.3">
      <c r="A55" s="163" t="s">
        <v>230</v>
      </c>
      <c r="D55" s="57">
        <f t="shared" si="54"/>
        <v>1345</v>
      </c>
      <c r="E55" s="389">
        <v>2000</v>
      </c>
      <c r="F55" s="415"/>
      <c r="G55" s="163"/>
      <c r="H55" s="57">
        <f t="shared" si="55"/>
        <v>655</v>
      </c>
      <c r="I55" s="315">
        <v>655</v>
      </c>
      <c r="J55" s="83">
        <f>I55/12*Summary!$H$30</f>
        <v>545.83333333333337</v>
      </c>
      <c r="K55" s="268">
        <v>1659</v>
      </c>
      <c r="L55" s="58">
        <f t="shared" si="56"/>
        <v>-1113.1666666666665</v>
      </c>
      <c r="O55" s="57">
        <v>0</v>
      </c>
      <c r="P55" s="113">
        <v>0</v>
      </c>
      <c r="Q55" s="83">
        <f t="shared" si="58"/>
        <v>0</v>
      </c>
      <c r="R55" s="361">
        <v>0</v>
      </c>
      <c r="S55" s="58">
        <f t="shared" si="59"/>
        <v>0</v>
      </c>
      <c r="T55" s="61"/>
      <c r="U55" s="61"/>
      <c r="V55" s="59">
        <f t="shared" si="60"/>
        <v>0</v>
      </c>
      <c r="W55" s="113"/>
      <c r="X55" s="58">
        <f t="shared" si="61"/>
        <v>0</v>
      </c>
      <c r="Y55" s="58">
        <v>0</v>
      </c>
      <c r="Z55" s="58">
        <f t="shared" si="62"/>
        <v>0</v>
      </c>
      <c r="AA55" s="114"/>
      <c r="AB55" s="113"/>
      <c r="AC55" s="114"/>
      <c r="AD55" s="114"/>
      <c r="AE55" s="114"/>
      <c r="AG55" s="116"/>
    </row>
    <row r="56" spans="1:34" ht="15.6" x14ac:dyDescent="0.3">
      <c r="A56" s="163"/>
      <c r="D56" s="57"/>
      <c r="E56" s="113"/>
      <c r="F56" s="415"/>
      <c r="G56" s="163"/>
      <c r="H56" s="57"/>
      <c r="J56" s="58"/>
      <c r="K56" s="83"/>
      <c r="L56" s="58"/>
      <c r="O56" s="57"/>
      <c r="P56" s="113"/>
      <c r="Q56" s="364"/>
      <c r="R56" s="361"/>
      <c r="S56" s="58"/>
      <c r="T56" s="61"/>
      <c r="U56" s="61"/>
      <c r="V56" s="59"/>
      <c r="W56" s="113"/>
      <c r="X56" s="58"/>
      <c r="Y56" s="58"/>
      <c r="Z56" s="58"/>
      <c r="AA56" s="114"/>
      <c r="AB56" s="113"/>
      <c r="AC56" s="114"/>
      <c r="AD56" s="114"/>
      <c r="AE56" s="114"/>
      <c r="AG56" s="116"/>
    </row>
    <row r="57" spans="1:34" ht="15" thickBot="1" x14ac:dyDescent="0.35">
      <c r="A57" s="135" t="s">
        <v>140</v>
      </c>
      <c r="D57" s="117">
        <f>SUM(D45:D56)</f>
        <v>640</v>
      </c>
      <c r="E57" s="118">
        <f>SUM(E45:E56)</f>
        <v>5106</v>
      </c>
      <c r="F57" s="149"/>
      <c r="G57" s="147"/>
      <c r="H57" s="117">
        <f>SUM(H45:H56)</f>
        <v>391.79999999999995</v>
      </c>
      <c r="I57" s="339">
        <f>SUM(I45:I56)</f>
        <v>4466</v>
      </c>
      <c r="J57" s="119">
        <f>SUM(J45:J56)</f>
        <v>3721.666666666667</v>
      </c>
      <c r="K57" s="119">
        <f>SUM(K45:K56)</f>
        <v>4139</v>
      </c>
      <c r="L57" s="119">
        <f>SUM(L45:L56)</f>
        <v>-417.33333333333314</v>
      </c>
      <c r="M57" s="121"/>
      <c r="N57" s="121"/>
      <c r="O57" s="117">
        <f>SUM(O45:O56)</f>
        <v>-225.79999999999995</v>
      </c>
      <c r="P57" s="118">
        <f>SUM(P45:P56)</f>
        <v>4074.2</v>
      </c>
      <c r="Q57" s="392">
        <f>SUM(Q45:Q56)</f>
        <v>4074.2</v>
      </c>
      <c r="R57" s="392">
        <f>SUM(R45:R56)</f>
        <v>5206</v>
      </c>
      <c r="S57" s="119">
        <f>SUM(S45:S56)</f>
        <v>-1131.8000000000002</v>
      </c>
      <c r="T57" s="114"/>
      <c r="U57" s="114"/>
      <c r="V57" s="117">
        <f>SUM(V45:V56)</f>
        <v>-470</v>
      </c>
      <c r="W57" s="118">
        <f>SUM(W45:W56)</f>
        <v>4300</v>
      </c>
      <c r="X57" s="119">
        <f>SUM(X45:X56)</f>
        <v>3583.333333333333</v>
      </c>
      <c r="Y57" s="119">
        <f>SUM(Y45:Y56)</f>
        <v>5952.91</v>
      </c>
      <c r="Z57" s="119">
        <f>SUM(Z45:Z56)</f>
        <v>-2369.5766666666664</v>
      </c>
      <c r="AA57" s="114"/>
      <c r="AB57" s="118">
        <f>SUM(AB45:AB56)</f>
        <v>4770</v>
      </c>
      <c r="AC57" s="119">
        <f>SUM(AC45:AC56)</f>
        <v>3975</v>
      </c>
      <c r="AD57" s="119">
        <f>SUM(AD45:AD56)</f>
        <v>7115.5</v>
      </c>
      <c r="AE57" s="119">
        <f>SUM(AE45:AE56)</f>
        <v>-3140.4999999999991</v>
      </c>
      <c r="AG57" s="116"/>
    </row>
    <row r="58" spans="1:34" x14ac:dyDescent="0.3">
      <c r="A58" s="7"/>
      <c r="D58" s="112"/>
      <c r="E58" s="113"/>
      <c r="F58" s="415"/>
      <c r="G58" s="7"/>
      <c r="H58" s="112"/>
      <c r="J58" s="114"/>
      <c r="K58" s="114"/>
      <c r="L58" s="114"/>
      <c r="O58" s="112"/>
      <c r="P58" s="121"/>
      <c r="Q58" s="357"/>
      <c r="R58" s="361"/>
      <c r="S58" s="115"/>
      <c r="T58" s="114"/>
      <c r="U58" s="114"/>
      <c r="V58" s="112"/>
      <c r="W58" s="121"/>
      <c r="X58" s="114"/>
      <c r="Y58" s="114"/>
      <c r="Z58" s="115"/>
      <c r="AA58" s="114"/>
      <c r="AB58" s="121"/>
      <c r="AC58" s="114"/>
      <c r="AD58" s="122"/>
      <c r="AE58" s="114"/>
      <c r="AG58" s="116"/>
    </row>
    <row r="59" spans="1:34" x14ac:dyDescent="0.3">
      <c r="A59" s="7" t="s">
        <v>35</v>
      </c>
      <c r="D59" s="112"/>
      <c r="E59" s="113"/>
      <c r="F59" s="415"/>
      <c r="G59" s="7"/>
      <c r="H59" s="112"/>
      <c r="J59" s="114"/>
      <c r="K59" s="114"/>
      <c r="L59" s="114"/>
      <c r="O59" s="112"/>
      <c r="P59" s="113"/>
      <c r="Q59" s="357"/>
      <c r="R59" s="361"/>
      <c r="S59" s="115"/>
      <c r="T59" s="114"/>
      <c r="U59" s="114"/>
      <c r="V59" s="112"/>
      <c r="W59" s="113"/>
      <c r="X59" s="114"/>
      <c r="Y59" s="114"/>
      <c r="Z59" s="115"/>
      <c r="AA59" s="114"/>
      <c r="AB59" s="113"/>
      <c r="AC59" s="114"/>
      <c r="AD59" s="114"/>
      <c r="AE59" s="114"/>
      <c r="AG59" s="116"/>
    </row>
    <row r="60" spans="1:34" ht="15.6" x14ac:dyDescent="0.3">
      <c r="A60" s="5" t="s">
        <v>90</v>
      </c>
      <c r="D60" s="57">
        <f t="shared" ref="D60:D61" si="72">E60-I60</f>
        <v>0</v>
      </c>
      <c r="E60" s="389">
        <v>1000</v>
      </c>
      <c r="F60" s="415"/>
      <c r="G60" s="168"/>
      <c r="H60" s="57">
        <f>I60-P60</f>
        <v>-98</v>
      </c>
      <c r="I60" s="315">
        <v>1000</v>
      </c>
      <c r="J60" s="83">
        <f>I60/12*Summary!$H$30</f>
        <v>833.33333333333326</v>
      </c>
      <c r="K60" s="268">
        <v>858</v>
      </c>
      <c r="L60" s="58">
        <f t="shared" ref="L60:L61" si="73">J60-K60</f>
        <v>-24.666666666666742</v>
      </c>
      <c r="O60" s="57">
        <f>P60-W60</f>
        <v>698</v>
      </c>
      <c r="P60" s="113">
        <v>1098</v>
      </c>
      <c r="Q60" s="83">
        <f t="shared" ref="Q60:Q61" si="74">P60</f>
        <v>1098</v>
      </c>
      <c r="R60" s="361">
        <v>739</v>
      </c>
      <c r="S60" s="58">
        <f t="shared" ref="S60:S61" si="75">Q60-R60</f>
        <v>359</v>
      </c>
      <c r="T60" s="61"/>
      <c r="U60" s="61"/>
      <c r="V60" s="59">
        <f t="shared" ref="V60:V61" si="76">W60-AB60</f>
        <v>100</v>
      </c>
      <c r="W60" s="113">
        <v>400</v>
      </c>
      <c r="X60" s="58">
        <f t="shared" ref="X60:X61" si="77">W60/12*10</f>
        <v>333.33333333333337</v>
      </c>
      <c r="Y60" s="58">
        <v>398.31</v>
      </c>
      <c r="Z60" s="58">
        <f t="shared" ref="Z60:Z61" si="78">X60-Y60</f>
        <v>-64.976666666666631</v>
      </c>
      <c r="AA60" s="114"/>
      <c r="AB60" s="113">
        <v>300</v>
      </c>
      <c r="AC60" s="58">
        <f t="shared" ref="AC60:AC61" si="79">AB60/12*10</f>
        <v>250</v>
      </c>
      <c r="AD60" s="114">
        <v>376</v>
      </c>
      <c r="AE60" s="61">
        <f t="shared" ref="AE60:AE61" si="80">AC60-AD60</f>
        <v>-126</v>
      </c>
      <c r="AG60" s="116"/>
    </row>
    <row r="61" spans="1:34" ht="15.6" x14ac:dyDescent="0.3">
      <c r="A61" s="122" t="s">
        <v>91</v>
      </c>
      <c r="D61" s="57">
        <f t="shared" si="72"/>
        <v>8</v>
      </c>
      <c r="E61" s="389">
        <v>201</v>
      </c>
      <c r="F61" s="415"/>
      <c r="G61" s="122"/>
      <c r="H61" s="57">
        <f>I61-P61</f>
        <v>-37</v>
      </c>
      <c r="I61" s="315">
        <v>193</v>
      </c>
      <c r="J61" s="83">
        <f>I61/12*Summary!$H$30</f>
        <v>160.83333333333331</v>
      </c>
      <c r="K61" s="268">
        <v>193.31</v>
      </c>
      <c r="L61" s="58">
        <f t="shared" si="73"/>
        <v>-32.476666666666688</v>
      </c>
      <c r="O61" s="57">
        <f>P61-W61</f>
        <v>-20</v>
      </c>
      <c r="P61" s="113">
        <v>230</v>
      </c>
      <c r="Q61" s="83">
        <f t="shared" si="74"/>
        <v>230</v>
      </c>
      <c r="R61" s="361">
        <v>0</v>
      </c>
      <c r="S61" s="58">
        <f t="shared" si="75"/>
        <v>230</v>
      </c>
      <c r="T61" s="61"/>
      <c r="U61" s="61"/>
      <c r="V61" s="59">
        <f t="shared" si="76"/>
        <v>50</v>
      </c>
      <c r="W61" s="113">
        <v>250</v>
      </c>
      <c r="X61" s="58">
        <f t="shared" si="77"/>
        <v>208.33333333333331</v>
      </c>
      <c r="Y61" s="58">
        <v>0</v>
      </c>
      <c r="Z61" s="58">
        <f t="shared" si="78"/>
        <v>208.33333333333331</v>
      </c>
      <c r="AA61" s="114"/>
      <c r="AB61" s="113">
        <v>200</v>
      </c>
      <c r="AC61" s="58">
        <f t="shared" si="79"/>
        <v>166.66666666666669</v>
      </c>
      <c r="AD61" s="114">
        <v>250</v>
      </c>
      <c r="AE61" s="61">
        <f t="shared" si="80"/>
        <v>-83.333333333333314</v>
      </c>
      <c r="AG61" s="162"/>
      <c r="AH61" s="46"/>
    </row>
    <row r="62" spans="1:34" ht="15.6" x14ac:dyDescent="0.3">
      <c r="A62" s="33"/>
      <c r="D62" s="57"/>
      <c r="E62" s="113"/>
      <c r="F62" s="415"/>
      <c r="G62" s="33"/>
      <c r="H62" s="57"/>
      <c r="J62" s="58"/>
      <c r="K62" s="83"/>
      <c r="L62" s="58"/>
      <c r="O62" s="57"/>
      <c r="P62" s="113"/>
      <c r="Q62" s="364"/>
      <c r="R62" s="361"/>
      <c r="S62" s="58"/>
      <c r="T62" s="61"/>
      <c r="U62" s="61"/>
      <c r="V62" s="59"/>
      <c r="W62" s="113"/>
      <c r="X62" s="58"/>
      <c r="Y62" s="58"/>
      <c r="Z62" s="58"/>
      <c r="AA62" s="114"/>
      <c r="AB62" s="113"/>
      <c r="AC62" s="58"/>
      <c r="AD62" s="114"/>
      <c r="AE62" s="61"/>
    </row>
    <row r="63" spans="1:34" ht="15" thickBot="1" x14ac:dyDescent="0.35">
      <c r="A63" s="135" t="s">
        <v>157</v>
      </c>
      <c r="D63" s="117">
        <f t="shared" ref="D63:E63" si="81">SUM(D59:D62)</f>
        <v>8</v>
      </c>
      <c r="E63" s="118">
        <f t="shared" si="81"/>
        <v>1201</v>
      </c>
      <c r="F63" s="149"/>
      <c r="G63" s="147"/>
      <c r="H63" s="117">
        <f t="shared" ref="H63:I63" si="82">SUM(H59:H62)</f>
        <v>-135</v>
      </c>
      <c r="I63" s="339">
        <f t="shared" si="82"/>
        <v>1193</v>
      </c>
      <c r="J63" s="119">
        <f t="shared" ref="J63:L63" si="83">SUM(J59:J62)</f>
        <v>994.16666666666652</v>
      </c>
      <c r="K63" s="119">
        <f t="shared" si="83"/>
        <v>1051.31</v>
      </c>
      <c r="L63" s="119">
        <f t="shared" si="83"/>
        <v>-57.14333333333343</v>
      </c>
      <c r="M63" s="121"/>
      <c r="N63" s="121"/>
      <c r="O63" s="117">
        <f t="shared" ref="O63:R63" si="84">SUM(O59:O62)</f>
        <v>678</v>
      </c>
      <c r="P63" s="118">
        <f t="shared" si="84"/>
        <v>1328</v>
      </c>
      <c r="Q63" s="392">
        <f t="shared" si="84"/>
        <v>1328</v>
      </c>
      <c r="R63" s="392">
        <f t="shared" si="84"/>
        <v>739</v>
      </c>
      <c r="S63" s="119">
        <f t="shared" ref="S63" si="85">SUM(S59:S62)</f>
        <v>589</v>
      </c>
      <c r="T63" s="114"/>
      <c r="U63" s="114"/>
      <c r="V63" s="117">
        <f t="shared" ref="V63:Z63" si="86">SUM(V59:V62)</f>
        <v>150</v>
      </c>
      <c r="W63" s="118">
        <f t="shared" si="86"/>
        <v>650</v>
      </c>
      <c r="X63" s="119">
        <f t="shared" si="86"/>
        <v>541.66666666666674</v>
      </c>
      <c r="Y63" s="119">
        <f t="shared" si="86"/>
        <v>398.31</v>
      </c>
      <c r="Z63" s="119">
        <f t="shared" si="86"/>
        <v>143.35666666666668</v>
      </c>
      <c r="AA63" s="114"/>
      <c r="AB63" s="118">
        <f>SUM(AB59:AB62)</f>
        <v>500</v>
      </c>
      <c r="AC63" s="119">
        <f t="shared" ref="AC63:AE63" si="87">SUM(AC59:AC62)</f>
        <v>416.66666666666669</v>
      </c>
      <c r="AD63" s="119">
        <f t="shared" si="87"/>
        <v>626</v>
      </c>
      <c r="AE63" s="119">
        <f t="shared" si="87"/>
        <v>-209.33333333333331</v>
      </c>
    </row>
    <row r="64" spans="1:34" x14ac:dyDescent="0.3">
      <c r="A64" s="7"/>
      <c r="D64" s="112"/>
      <c r="E64" s="113"/>
      <c r="F64" s="415"/>
      <c r="G64" s="7"/>
      <c r="H64" s="112"/>
      <c r="I64" s="149"/>
      <c r="J64" s="114"/>
      <c r="K64" s="114"/>
      <c r="L64" s="114"/>
      <c r="M64" s="121"/>
      <c r="N64" s="121"/>
      <c r="O64" s="112"/>
      <c r="P64" s="121"/>
      <c r="Q64" s="357"/>
      <c r="R64" s="357"/>
      <c r="S64" s="115"/>
      <c r="T64" s="114"/>
      <c r="U64" s="114"/>
      <c r="V64" s="112"/>
      <c r="W64" s="121"/>
      <c r="X64" s="114"/>
      <c r="Y64" s="114"/>
      <c r="Z64" s="115"/>
      <c r="AA64" s="114"/>
      <c r="AB64" s="121"/>
      <c r="AC64" s="114"/>
      <c r="AD64" s="122"/>
      <c r="AE64" s="114"/>
    </row>
    <row r="65" spans="1:34" ht="15" thickBot="1" x14ac:dyDescent="0.35">
      <c r="A65" s="135" t="s">
        <v>138</v>
      </c>
      <c r="D65" s="387">
        <f>D14+D25+D32+D43+D57+D63</f>
        <v>704</v>
      </c>
      <c r="E65" s="388">
        <f>E14+E25+E32+E43+E57+E63</f>
        <v>55347</v>
      </c>
      <c r="F65" s="256"/>
      <c r="G65" s="147"/>
      <c r="H65" s="166">
        <f>H14+H25+H32+H43+H57+H63</f>
        <v>1363.4799999999998</v>
      </c>
      <c r="I65" s="165">
        <f>I14+I25+I32+I43+I57+I63</f>
        <v>54643</v>
      </c>
      <c r="J65" s="386">
        <f>J14+J25+J32+J43+J57+J63</f>
        <v>45535.833333333328</v>
      </c>
      <c r="K65" s="386">
        <f>K14+K25+K32+K43+K57+K63</f>
        <v>37156.31</v>
      </c>
      <c r="L65" s="386">
        <f>L14+L25+L32+L43+L57+L63</f>
        <v>8379.5233333333344</v>
      </c>
      <c r="M65" s="256"/>
      <c r="N65" s="256"/>
      <c r="O65" s="166">
        <f>O14+O25+O32+O43+O57+O63</f>
        <v>3219.5200000000004</v>
      </c>
      <c r="P65" s="165">
        <f>P14+P25+P32+P43+P57+P63</f>
        <v>53279.519999999997</v>
      </c>
      <c r="Q65" s="164">
        <f>Q14+Q25+Q32+Q43+Q57+Q63</f>
        <v>52963.866666666661</v>
      </c>
      <c r="R65" s="164">
        <f>R14+R25+R32+R43+R57+R63</f>
        <v>59106</v>
      </c>
      <c r="S65" s="164">
        <f>S14+S25+S32+S43+S57+S63</f>
        <v>-6142.1333333333341</v>
      </c>
      <c r="T65" s="114"/>
      <c r="U65" s="114"/>
      <c r="V65" s="166">
        <f>V14+V25+V32+V43+V57+V63</f>
        <v>8185</v>
      </c>
      <c r="W65" s="165">
        <f>W14+W25+W32+W43+W57+W63</f>
        <v>50060</v>
      </c>
      <c r="X65" s="164">
        <f>X14+X25+X32+X43+X57+X63</f>
        <v>41716.666666666664</v>
      </c>
      <c r="Y65" s="164">
        <f>Y14+Y25+Y32+Y43+Y57+Y63</f>
        <v>46917.582999999999</v>
      </c>
      <c r="Z65" s="164">
        <f>Z14+Z25+Z32+Z43+Z57+Z63</f>
        <v>-5200.9163333333345</v>
      </c>
      <c r="AA65" s="114"/>
      <c r="AB65" s="165">
        <f>AB14+AB25+AB32+AB43+AB57+AB63</f>
        <v>41875</v>
      </c>
      <c r="AC65" s="164">
        <f>AC14+AC25+AC32+AC43+AC57+AC63</f>
        <v>34895.833333333336</v>
      </c>
      <c r="AD65" s="164">
        <f>AD14+AD25+AD32+AD43+AD57+AD63</f>
        <v>57941.08</v>
      </c>
      <c r="AE65" s="164">
        <f>AE14+AE25+AE32+AE43+AE57+AE63</f>
        <v>-23045.246666666662</v>
      </c>
    </row>
    <row r="66" spans="1:34" x14ac:dyDescent="0.3">
      <c r="A66" s="8"/>
      <c r="D66" s="112"/>
      <c r="E66" s="113"/>
      <c r="F66" s="415"/>
      <c r="G66" s="8"/>
      <c r="H66" s="112"/>
      <c r="J66" s="114"/>
      <c r="K66" s="114"/>
      <c r="L66" s="114"/>
      <c r="O66" s="112"/>
      <c r="P66" s="113"/>
      <c r="Q66" s="357"/>
      <c r="R66" s="361"/>
      <c r="S66" s="115"/>
      <c r="T66" s="114"/>
      <c r="U66" s="114"/>
      <c r="V66" s="112"/>
      <c r="W66" s="121"/>
      <c r="X66" s="114"/>
      <c r="Y66" s="114"/>
      <c r="Z66" s="115"/>
      <c r="AA66" s="114"/>
      <c r="AB66" s="121"/>
      <c r="AC66" s="114"/>
      <c r="AD66" s="122"/>
      <c r="AE66" s="114"/>
    </row>
    <row r="67" spans="1:34" ht="15.6" x14ac:dyDescent="0.3">
      <c r="A67" s="147" t="s">
        <v>96</v>
      </c>
      <c r="D67" s="57">
        <f>E67-I67</f>
        <v>3450</v>
      </c>
      <c r="E67" s="113">
        <f>Reserves!E6</f>
        <v>13650</v>
      </c>
      <c r="F67" s="415"/>
      <c r="G67" s="147"/>
      <c r="H67" s="57">
        <f>I67-P67</f>
        <v>-1800</v>
      </c>
      <c r="I67" s="276">
        <v>10200</v>
      </c>
      <c r="J67" s="83">
        <f>I67/12*Summary!$H$30</f>
        <v>8500</v>
      </c>
      <c r="K67" s="449">
        <f>J67</f>
        <v>8500</v>
      </c>
      <c r="L67" s="58">
        <f>J67-K67</f>
        <v>0</v>
      </c>
      <c r="M67" s="240"/>
      <c r="N67" s="240"/>
      <c r="O67" s="57">
        <f>P67-W67</f>
        <v>0</v>
      </c>
      <c r="P67" s="113">
        <v>12000</v>
      </c>
      <c r="Q67" s="348">
        <f>P67</f>
        <v>12000</v>
      </c>
      <c r="R67" s="361">
        <v>12000</v>
      </c>
      <c r="S67" s="58">
        <f>Q67-R67</f>
        <v>0</v>
      </c>
      <c r="T67" s="61"/>
      <c r="U67" s="61"/>
      <c r="V67" s="59">
        <f>W67-AB67</f>
        <v>0</v>
      </c>
      <c r="W67" s="113">
        <v>12000</v>
      </c>
      <c r="X67" s="58">
        <f>W67/12*10</f>
        <v>10000</v>
      </c>
      <c r="Y67" s="58">
        <v>12000</v>
      </c>
      <c r="Z67" s="58">
        <f>X67-Y67</f>
        <v>-2000</v>
      </c>
      <c r="AA67" s="114"/>
      <c r="AB67" s="113">
        <v>12000</v>
      </c>
      <c r="AC67" s="58">
        <f>AB67/12*10</f>
        <v>10000</v>
      </c>
      <c r="AD67" s="114"/>
      <c r="AE67" s="61">
        <f>AC67-AD67</f>
        <v>10000</v>
      </c>
    </row>
    <row r="68" spans="1:34" ht="15.6" x14ac:dyDescent="0.3">
      <c r="A68" s="8"/>
      <c r="D68" s="57"/>
      <c r="E68" s="113"/>
      <c r="F68" s="415"/>
      <c r="G68" s="8"/>
      <c r="H68" s="57"/>
      <c r="J68" s="58"/>
      <c r="K68" s="83"/>
      <c r="L68" s="58"/>
      <c r="O68" s="57"/>
      <c r="P68" s="113"/>
      <c r="Q68" s="364"/>
      <c r="R68" s="361"/>
      <c r="S68" s="58"/>
      <c r="T68" s="61"/>
      <c r="U68" s="61"/>
      <c r="V68" s="59"/>
      <c r="W68" s="113"/>
      <c r="X68" s="58"/>
      <c r="Y68" s="58"/>
      <c r="Z68" s="58"/>
      <c r="AA68" s="114"/>
      <c r="AB68" s="113"/>
      <c r="AC68" s="58"/>
      <c r="AD68" s="114"/>
      <c r="AE68" s="61"/>
    </row>
    <row r="69" spans="1:34" ht="15" thickBot="1" x14ac:dyDescent="0.35">
      <c r="A69" s="135" t="s">
        <v>1</v>
      </c>
      <c r="D69" s="387">
        <f t="shared" ref="D69:E69" si="88">SUM(D65:D68)</f>
        <v>4154</v>
      </c>
      <c r="E69" s="388">
        <f t="shared" si="88"/>
        <v>68997</v>
      </c>
      <c r="F69" s="256"/>
      <c r="G69" s="147"/>
      <c r="H69" s="166">
        <f t="shared" ref="H69" si="89">SUM(H65:H68)</f>
        <v>-436.52000000000021</v>
      </c>
      <c r="I69" s="165">
        <f t="shared" ref="I69" si="90">SUM(I65:I68)</f>
        <v>64843</v>
      </c>
      <c r="J69" s="386">
        <f t="shared" ref="J69:L69" si="91">SUM(J65:J68)</f>
        <v>54035.833333333328</v>
      </c>
      <c r="K69" s="386">
        <f t="shared" si="91"/>
        <v>45656.31</v>
      </c>
      <c r="L69" s="386">
        <f t="shared" si="91"/>
        <v>8379.5233333333344</v>
      </c>
      <c r="M69" s="256"/>
      <c r="N69" s="256"/>
      <c r="O69" s="166">
        <f>SUM(O65:O68)</f>
        <v>3219.5200000000004</v>
      </c>
      <c r="P69" s="165">
        <f>SUM(P65:P68)</f>
        <v>65279.519999999997</v>
      </c>
      <c r="Q69" s="164">
        <f t="shared" ref="Q69:R69" si="92">SUM(Q65:Q68)</f>
        <v>64963.866666666661</v>
      </c>
      <c r="R69" s="164">
        <f t="shared" si="92"/>
        <v>71106</v>
      </c>
      <c r="S69" s="164">
        <f t="shared" ref="S69" si="93">SUM(S65:S68)</f>
        <v>-6142.1333333333341</v>
      </c>
      <c r="T69" s="114"/>
      <c r="U69" s="114"/>
      <c r="V69" s="166">
        <f t="shared" ref="V69:Z69" si="94">SUM(V65:V68)</f>
        <v>8185</v>
      </c>
      <c r="W69" s="165">
        <f t="shared" si="94"/>
        <v>62060</v>
      </c>
      <c r="X69" s="164">
        <f t="shared" si="94"/>
        <v>51716.666666666664</v>
      </c>
      <c r="Y69" s="164">
        <f t="shared" si="94"/>
        <v>58917.582999999999</v>
      </c>
      <c r="Z69" s="164">
        <f t="shared" si="94"/>
        <v>-7200.9163333333345</v>
      </c>
      <c r="AA69" s="114"/>
      <c r="AB69" s="165">
        <f>SUM(AB65:AB68)</f>
        <v>53875</v>
      </c>
      <c r="AC69" s="164">
        <f t="shared" ref="AC69:AE69" si="95">SUM(AC65:AC68)</f>
        <v>44895.833333333336</v>
      </c>
      <c r="AD69" s="164">
        <f t="shared" si="95"/>
        <v>57941.08</v>
      </c>
      <c r="AE69" s="164">
        <f t="shared" si="95"/>
        <v>-13045.246666666662</v>
      </c>
      <c r="AG69" s="155">
        <f>SUM(B69:AF69)</f>
        <v>761400.91999999981</v>
      </c>
      <c r="AH69" s="156" t="s">
        <v>143</v>
      </c>
    </row>
    <row r="70" spans="1:34" x14ac:dyDescent="0.3">
      <c r="O70" s="30"/>
      <c r="P70" s="30"/>
      <c r="Q70" s="315"/>
      <c r="R70" s="361"/>
      <c r="S70" s="73"/>
      <c r="AB70" s="35"/>
    </row>
    <row r="71" spans="1:34" x14ac:dyDescent="0.3">
      <c r="A71" s="233" t="str">
        <f>"* "&amp;Summary!$A$26</f>
        <v>* Inflation Factor, CPI to 16th September, 2020</v>
      </c>
      <c r="B71" s="233"/>
      <c r="C71" s="233"/>
      <c r="D71" s="233"/>
      <c r="E71" s="353">
        <f>Summary!$E$26</f>
        <v>5.0000000000000001E-3</v>
      </c>
      <c r="F71" s="201"/>
      <c r="G71" s="233"/>
      <c r="H71" s="436" t="str">
        <f>Summary!$H$26</f>
        <v>October, 2019</v>
      </c>
      <c r="I71" s="353">
        <f>Summary!$I$26</f>
        <v>1.7000000000000001E-2</v>
      </c>
      <c r="J71" s="311"/>
      <c r="K71" s="311"/>
      <c r="L71" s="311"/>
      <c r="M71" s="241"/>
      <c r="N71" s="241"/>
      <c r="O71" s="436" t="str">
        <f>Summary!$O$26</f>
        <v>October, 2018</v>
      </c>
      <c r="P71" s="353">
        <f>Summary!$P$26</f>
        <v>2.4E-2</v>
      </c>
      <c r="Q71" s="305"/>
      <c r="R71" s="361"/>
      <c r="S71" s="73"/>
    </row>
    <row r="72" spans="1:34" ht="18" customHeight="1" x14ac:dyDescent="0.3">
      <c r="O72" s="30"/>
      <c r="P72" s="30"/>
    </row>
    <row r="73" spans="1:3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30"/>
    </row>
    <row r="74" spans="1:3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30"/>
    </row>
    <row r="75" spans="1:3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30"/>
    </row>
    <row r="76" spans="1:3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30"/>
    </row>
    <row r="77" spans="1:3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30"/>
    </row>
    <row r="78" spans="1:3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30"/>
    </row>
    <row r="79" spans="1:3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30"/>
    </row>
    <row r="80" spans="1:3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0"/>
    </row>
    <row r="81" spans="1:16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30"/>
    </row>
    <row r="82" spans="1:16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6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6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6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6" ht="30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6" ht="30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6" ht="30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</sheetData>
  <mergeCells count="17">
    <mergeCell ref="H4:H5"/>
    <mergeCell ref="D3:E3"/>
    <mergeCell ref="D4:D5"/>
    <mergeCell ref="E4:E5"/>
    <mergeCell ref="H3:L3"/>
    <mergeCell ref="I4:J4"/>
    <mergeCell ref="P4:Q4"/>
    <mergeCell ref="Q5:S5"/>
    <mergeCell ref="O3:S3"/>
    <mergeCell ref="AB3:AE3"/>
    <mergeCell ref="O4:O5"/>
    <mergeCell ref="V4:V5"/>
    <mergeCell ref="W4:X4"/>
    <mergeCell ref="AB4:AC4"/>
    <mergeCell ref="X5:Z5"/>
    <mergeCell ref="AC5:AE5"/>
    <mergeCell ref="V3:Z3"/>
  </mergeCells>
  <phoneticPr fontId="20" type="noConversion"/>
  <hyperlinks>
    <hyperlink ref="J5" r:id="rId1" display="&quot;&lt;---------- to &quot;@October ----------&gt;" xr:uid="{00000000-0004-0000-0300-000000000000}"/>
  </hyperlinks>
  <pageMargins left="0.70866141732283472" right="0.70866141732283472" top="7.874015748031496E-2" bottom="7.874015748031496E-2" header="0.31496062992125984" footer="0.31496062992125984"/>
  <pageSetup paperSize="8" scale="56" orientation="landscape" cellComments="asDisplayed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70"/>
  <sheetViews>
    <sheetView showGridLines="0" zoomScale="80" zoomScaleNormal="80" workbookViewId="0">
      <pane ySplit="5" topLeftCell="A6" activePane="bottomLeft" state="frozen"/>
      <selection activeCell="H32" sqref="H32:I32"/>
      <selection pane="bottomLeft" activeCell="E23" sqref="E23"/>
    </sheetView>
  </sheetViews>
  <sheetFormatPr defaultColWidth="9.109375" defaultRowHeight="14.4" x14ac:dyDescent="0.25"/>
  <cols>
    <col min="1" max="1" width="42.6640625" style="233" customWidth="1"/>
    <col min="2" max="3" width="1.6640625" style="233" customWidth="1"/>
    <col min="4" max="5" width="12.6640625" style="233" customWidth="1"/>
    <col min="6" max="6" width="1.6640625" style="201" customWidth="1"/>
    <col min="7" max="7" width="1.6640625" style="233" customWidth="1"/>
    <col min="8" max="8" width="12.6640625" style="233" customWidth="1"/>
    <col min="9" max="12" width="12.6640625" style="305" customWidth="1"/>
    <col min="13" max="14" width="1.6640625" style="241" customWidth="1"/>
    <col min="15" max="17" width="11.6640625" style="241" customWidth="1"/>
    <col min="18" max="18" width="11.6640625" style="233" customWidth="1"/>
    <col min="19" max="19" width="11.6640625" style="227" customWidth="1"/>
    <col min="20" max="20" width="0.33203125" style="227" customWidth="1"/>
    <col min="21" max="21" width="1.6640625" style="227" customWidth="1"/>
    <col min="22" max="25" width="11.6640625" style="227" customWidth="1"/>
    <col min="26" max="26" width="11.6640625" style="233" customWidth="1"/>
    <col min="27" max="27" width="2.6640625" style="233" customWidth="1"/>
    <col min="28" max="31" width="11.6640625" style="233" customWidth="1"/>
    <col min="32" max="32" width="2.6640625" style="233" customWidth="1"/>
    <col min="33" max="16384" width="9.109375" style="233"/>
  </cols>
  <sheetData>
    <row r="1" spans="1:34" ht="21" x14ac:dyDescent="0.25">
      <c r="A1" s="54" t="s">
        <v>8</v>
      </c>
      <c r="B1" s="51"/>
      <c r="C1" s="51"/>
      <c r="D1" s="54" t="s">
        <v>137</v>
      </c>
      <c r="E1" s="51"/>
      <c r="F1" s="411"/>
      <c r="G1" s="51"/>
      <c r="H1" s="52"/>
      <c r="I1" s="312"/>
      <c r="J1" s="312"/>
      <c r="K1" s="312"/>
      <c r="L1" s="312"/>
      <c r="M1" s="236"/>
      <c r="N1" s="236"/>
      <c r="O1" s="236"/>
      <c r="P1" s="236"/>
      <c r="Q1" s="236"/>
      <c r="R1" s="53"/>
      <c r="S1" s="53"/>
      <c r="T1" s="53"/>
      <c r="U1" s="53"/>
    </row>
    <row r="2" spans="1:34" x14ac:dyDescent="0.25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</row>
    <row r="3" spans="1:34" s="263" customFormat="1" ht="21" x14ac:dyDescent="0.4">
      <c r="A3" s="397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3" t="s">
        <v>94</v>
      </c>
    </row>
    <row r="4" spans="1:34" ht="15" customHeight="1" x14ac:dyDescent="0.25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12"/>
    </row>
    <row r="5" spans="1:34" x14ac:dyDescent="0.25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2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12"/>
    </row>
    <row r="6" spans="1:34" s="201" customFormat="1" x14ac:dyDescent="0.25">
      <c r="A6" s="325"/>
      <c r="B6" s="325"/>
      <c r="C6" s="325"/>
      <c r="D6" s="325"/>
      <c r="E6" s="325"/>
      <c r="F6" s="325"/>
      <c r="G6" s="325"/>
      <c r="H6" s="325"/>
      <c r="I6" s="322"/>
      <c r="J6" s="322"/>
      <c r="K6" s="322"/>
      <c r="L6" s="322"/>
      <c r="M6" s="322"/>
      <c r="N6" s="322"/>
      <c r="O6" s="400"/>
      <c r="P6" s="301"/>
      <c r="Q6" s="322"/>
      <c r="S6" s="325"/>
      <c r="T6" s="325"/>
      <c r="U6" s="325"/>
      <c r="V6" s="401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9"/>
    </row>
    <row r="7" spans="1:34" ht="15.6" x14ac:dyDescent="0.25">
      <c r="A7" s="7" t="s">
        <v>2</v>
      </c>
      <c r="B7" s="7"/>
      <c r="C7" s="7"/>
      <c r="D7" s="554"/>
      <c r="E7" s="555"/>
      <c r="F7" s="417"/>
      <c r="G7" s="7"/>
      <c r="H7" s="59"/>
      <c r="I7" s="316"/>
      <c r="J7" s="316"/>
      <c r="K7" s="59" t="s">
        <v>228</v>
      </c>
      <c r="L7" s="316"/>
      <c r="M7" s="244"/>
      <c r="N7" s="244"/>
      <c r="O7" s="59"/>
      <c r="P7" s="60"/>
      <c r="Q7" s="244"/>
      <c r="S7" s="61"/>
      <c r="T7" s="61"/>
      <c r="U7" s="61"/>
      <c r="V7" s="59"/>
      <c r="W7" s="60"/>
      <c r="X7" s="61"/>
      <c r="Y7" s="61"/>
      <c r="Z7" s="61"/>
      <c r="AA7" s="61"/>
      <c r="AB7" s="60"/>
      <c r="AC7" s="61"/>
      <c r="AD7" s="61"/>
      <c r="AE7" s="61"/>
      <c r="AF7" s="27"/>
      <c r="AG7" s="27"/>
    </row>
    <row r="8" spans="1:34" ht="15.6" x14ac:dyDescent="0.25">
      <c r="A8" s="8" t="s">
        <v>243</v>
      </c>
      <c r="B8" s="8"/>
      <c r="C8" s="8"/>
      <c r="D8" s="81">
        <f t="shared" ref="D8:D13" si="0">E8-I8</f>
        <v>11084</v>
      </c>
      <c r="E8" s="346">
        <v>45920</v>
      </c>
      <c r="F8" s="393"/>
      <c r="G8" s="8"/>
      <c r="H8" s="81">
        <f t="shared" ref="H8:H13" si="1">I8-P8</f>
        <v>2343.4000000000015</v>
      </c>
      <c r="I8" s="303">
        <v>34836</v>
      </c>
      <c r="J8" s="83">
        <f>I8/12*Summary!$H$30</f>
        <v>29030</v>
      </c>
      <c r="K8" s="266">
        <v>34836</v>
      </c>
      <c r="L8" s="58">
        <f t="shared" ref="L8:L13" si="2">J8-K8</f>
        <v>-5806</v>
      </c>
      <c r="M8" s="245"/>
      <c r="N8" s="245"/>
      <c r="O8" s="57">
        <f t="shared" ref="O8:O13" si="3">P8-W8</f>
        <v>2242.5999999999985</v>
      </c>
      <c r="P8" s="62">
        <v>32492.6</v>
      </c>
      <c r="Q8" s="58">
        <f>P8</f>
        <v>32492.6</v>
      </c>
      <c r="R8" s="402">
        <v>32254</v>
      </c>
      <c r="S8" s="58">
        <f t="shared" ref="S8:S13" si="4">Q8-R8</f>
        <v>238.59999999999854</v>
      </c>
      <c r="T8" s="61"/>
      <c r="U8" s="61"/>
      <c r="V8" s="59">
        <f t="shared" ref="V8:V13" si="5">W8-AB8</f>
        <v>1666</v>
      </c>
      <c r="W8" s="228">
        <v>30250</v>
      </c>
      <c r="X8" s="58">
        <f t="shared" ref="X8:X13" si="6">W8/12*10</f>
        <v>25208.333333333336</v>
      </c>
      <c r="Y8" s="227">
        <v>-1375</v>
      </c>
      <c r="Z8" s="58">
        <f t="shared" ref="Z8:Z13" si="7">X8-Y8</f>
        <v>26583.333333333336</v>
      </c>
      <c r="AA8" s="61"/>
      <c r="AB8" s="228">
        <v>28584</v>
      </c>
      <c r="AC8" s="58">
        <f>AB8/12*10</f>
        <v>23820</v>
      </c>
      <c r="AD8" s="227">
        <v>30250.18</v>
      </c>
      <c r="AE8" s="61">
        <f>AC8-AD8</f>
        <v>-6430.18</v>
      </c>
      <c r="AF8" s="28"/>
      <c r="AG8" s="233" t="s">
        <v>231</v>
      </c>
    </row>
    <row r="9" spans="1:34" ht="15.6" x14ac:dyDescent="0.25">
      <c r="A9" s="8" t="s">
        <v>9</v>
      </c>
      <c r="B9" s="56" t="s">
        <v>228</v>
      </c>
      <c r="C9" s="56"/>
      <c r="D9" s="81">
        <f t="shared" si="0"/>
        <v>109.54999999999995</v>
      </c>
      <c r="E9" s="346">
        <v>664.55</v>
      </c>
      <c r="F9" s="393"/>
      <c r="G9" s="8"/>
      <c r="H9" s="81">
        <f t="shared" si="1"/>
        <v>21.659999999999968</v>
      </c>
      <c r="I9" s="303">
        <v>555</v>
      </c>
      <c r="J9" s="83">
        <f>I9/12*Summary!$H$30</f>
        <v>462.5</v>
      </c>
      <c r="K9" s="266">
        <v>555</v>
      </c>
      <c r="L9" s="58">
        <f t="shared" si="2"/>
        <v>-92.5</v>
      </c>
      <c r="M9" s="243"/>
      <c r="N9" s="243"/>
      <c r="O9" s="57">
        <f t="shared" si="3"/>
        <v>9.3400000000000318</v>
      </c>
      <c r="P9" s="82">
        <v>533.34</v>
      </c>
      <c r="Q9" s="58">
        <f t="shared" ref="Q9:Q13" si="8">P9</f>
        <v>533.34</v>
      </c>
      <c r="R9" s="402">
        <v>533</v>
      </c>
      <c r="S9" s="58">
        <f t="shared" si="4"/>
        <v>0.34000000000003183</v>
      </c>
      <c r="T9" s="61"/>
      <c r="U9" s="61"/>
      <c r="V9" s="59">
        <f t="shared" si="5"/>
        <v>48</v>
      </c>
      <c r="W9" s="228">
        <v>524</v>
      </c>
      <c r="X9" s="58">
        <f t="shared" si="6"/>
        <v>436.66666666666663</v>
      </c>
      <c r="Y9" s="227">
        <v>0</v>
      </c>
      <c r="Z9" s="58">
        <f t="shared" si="7"/>
        <v>436.66666666666663</v>
      </c>
      <c r="AA9" s="61"/>
      <c r="AB9" s="228">
        <v>476</v>
      </c>
      <c r="AC9" s="58">
        <f t="shared" ref="AC9:AC13" si="9">AB9/12*10</f>
        <v>396.66666666666663</v>
      </c>
      <c r="AD9" s="227">
        <v>523.82000000000005</v>
      </c>
      <c r="AE9" s="61">
        <f t="shared" ref="AE9:AE13" si="10">AC9-AD9</f>
        <v>-127.15333333333342</v>
      </c>
      <c r="AF9" s="28"/>
    </row>
    <row r="10" spans="1:34" ht="15.6" x14ac:dyDescent="0.25">
      <c r="A10" s="8" t="s">
        <v>242</v>
      </c>
      <c r="B10" s="56" t="s">
        <v>228</v>
      </c>
      <c r="C10" s="56"/>
      <c r="D10" s="81">
        <f t="shared" si="0"/>
        <v>-94.200000000000045</v>
      </c>
      <c r="E10" s="346">
        <v>968.8</v>
      </c>
      <c r="F10" s="393"/>
      <c r="G10" s="8"/>
      <c r="H10" s="81">
        <f t="shared" si="1"/>
        <v>598.52</v>
      </c>
      <c r="I10" s="303">
        <v>1063</v>
      </c>
      <c r="J10" s="83">
        <f>I10/12*Summary!$H$30</f>
        <v>885.83333333333326</v>
      </c>
      <c r="K10" s="266">
        <v>1063</v>
      </c>
      <c r="L10" s="58">
        <f t="shared" si="2"/>
        <v>-177.16666666666674</v>
      </c>
      <c r="M10" s="243"/>
      <c r="N10" s="243"/>
      <c r="O10" s="57">
        <f t="shared" si="3"/>
        <v>8.4800000000000182</v>
      </c>
      <c r="P10" s="82">
        <v>464.48</v>
      </c>
      <c r="Q10" s="58">
        <f t="shared" si="8"/>
        <v>464.48</v>
      </c>
      <c r="R10" s="402">
        <v>783</v>
      </c>
      <c r="S10" s="58">
        <f t="shared" si="4"/>
        <v>-318.52</v>
      </c>
      <c r="T10" s="61"/>
      <c r="U10" s="61"/>
      <c r="V10" s="59">
        <f t="shared" si="5"/>
        <v>-57</v>
      </c>
      <c r="W10" s="228">
        <v>456</v>
      </c>
      <c r="X10" s="58">
        <f t="shared" si="6"/>
        <v>380</v>
      </c>
      <c r="Y10" s="227">
        <v>0</v>
      </c>
      <c r="Z10" s="58">
        <f t="shared" si="7"/>
        <v>380</v>
      </c>
      <c r="AA10" s="61"/>
      <c r="AB10" s="228">
        <v>513</v>
      </c>
      <c r="AC10" s="58">
        <f t="shared" si="9"/>
        <v>427.5</v>
      </c>
      <c r="AD10" s="227">
        <v>456.18</v>
      </c>
      <c r="AE10" s="61">
        <f t="shared" si="10"/>
        <v>-28.680000000000007</v>
      </c>
      <c r="AF10" s="28"/>
    </row>
    <row r="11" spans="1:34" ht="15.6" x14ac:dyDescent="0.25">
      <c r="A11" s="8" t="s">
        <v>244</v>
      </c>
      <c r="B11" s="8"/>
      <c r="C11" s="8"/>
      <c r="D11" s="81">
        <f t="shared" si="0"/>
        <v>0</v>
      </c>
      <c r="E11" s="346">
        <v>0</v>
      </c>
      <c r="F11" s="393"/>
      <c r="G11" s="8"/>
      <c r="H11" s="81">
        <f t="shared" si="1"/>
        <v>0</v>
      </c>
      <c r="I11" s="303">
        <v>0</v>
      </c>
      <c r="J11" s="83">
        <f>I11/12*Summary!$H$30</f>
        <v>0</v>
      </c>
      <c r="K11" s="266"/>
      <c r="L11" s="58">
        <f t="shared" si="2"/>
        <v>0</v>
      </c>
      <c r="M11" s="245"/>
      <c r="N11" s="245"/>
      <c r="O11" s="57">
        <f t="shared" si="3"/>
        <v>0</v>
      </c>
      <c r="P11" s="62"/>
      <c r="Q11" s="58">
        <f t="shared" si="8"/>
        <v>0</v>
      </c>
      <c r="R11" s="402">
        <v>0</v>
      </c>
      <c r="S11" s="58">
        <f t="shared" si="4"/>
        <v>0</v>
      </c>
      <c r="T11" s="61"/>
      <c r="U11" s="61"/>
      <c r="V11" s="59">
        <f t="shared" si="5"/>
        <v>-2599</v>
      </c>
      <c r="W11" s="228">
        <v>0</v>
      </c>
      <c r="X11" s="58">
        <f t="shared" si="6"/>
        <v>0</v>
      </c>
      <c r="Y11" s="227">
        <v>0</v>
      </c>
      <c r="Z11" s="58">
        <f t="shared" si="7"/>
        <v>0</v>
      </c>
      <c r="AA11" s="61"/>
      <c r="AB11" s="228">
        <v>2599</v>
      </c>
      <c r="AC11" s="58">
        <f t="shared" si="9"/>
        <v>2165.8333333333335</v>
      </c>
      <c r="AD11" s="227">
        <v>0</v>
      </c>
      <c r="AE11" s="61">
        <f t="shared" si="10"/>
        <v>2165.8333333333335</v>
      </c>
      <c r="AF11" s="28"/>
    </row>
    <row r="12" spans="1:34" ht="15.6" x14ac:dyDescent="0.25">
      <c r="A12" s="8" t="s">
        <v>100</v>
      </c>
      <c r="B12" s="8"/>
      <c r="C12" s="8"/>
      <c r="D12" s="81">
        <f t="shared" si="0"/>
        <v>0</v>
      </c>
      <c r="E12" s="346">
        <v>0</v>
      </c>
      <c r="F12" s="393"/>
      <c r="G12" s="8"/>
      <c r="H12" s="81">
        <f t="shared" si="1"/>
        <v>0</v>
      </c>
      <c r="I12" s="303">
        <v>0</v>
      </c>
      <c r="J12" s="83">
        <f>I12/12*Summary!$H$30</f>
        <v>0</v>
      </c>
      <c r="K12" s="266">
        <v>600</v>
      </c>
      <c r="L12" s="58">
        <f t="shared" si="2"/>
        <v>-600</v>
      </c>
      <c r="M12" s="245"/>
      <c r="N12" s="245"/>
      <c r="O12" s="57">
        <f t="shared" si="3"/>
        <v>0</v>
      </c>
      <c r="P12" s="62"/>
      <c r="Q12" s="58">
        <f t="shared" si="8"/>
        <v>0</v>
      </c>
      <c r="R12" s="402">
        <v>0</v>
      </c>
      <c r="S12" s="58">
        <f t="shared" si="4"/>
        <v>0</v>
      </c>
      <c r="T12" s="61"/>
      <c r="U12" s="61"/>
      <c r="V12" s="59">
        <f t="shared" si="5"/>
        <v>-5030</v>
      </c>
      <c r="W12" s="228">
        <v>0</v>
      </c>
      <c r="X12" s="58">
        <f t="shared" si="6"/>
        <v>0</v>
      </c>
      <c r="Y12" s="227">
        <v>0</v>
      </c>
      <c r="Z12" s="58">
        <f t="shared" si="7"/>
        <v>0</v>
      </c>
      <c r="AA12" s="61"/>
      <c r="AB12" s="228">
        <v>5030</v>
      </c>
      <c r="AC12" s="58">
        <f t="shared" si="9"/>
        <v>4191.666666666667</v>
      </c>
      <c r="AD12" s="227">
        <v>3318</v>
      </c>
      <c r="AE12" s="61">
        <f t="shared" si="10"/>
        <v>873.66666666666697</v>
      </c>
      <c r="AF12" s="28"/>
    </row>
    <row r="13" spans="1:34" ht="15.6" x14ac:dyDescent="0.25">
      <c r="A13" s="8" t="s">
        <v>105</v>
      </c>
      <c r="B13" s="8"/>
      <c r="C13" s="8"/>
      <c r="D13" s="81">
        <f t="shared" si="0"/>
        <v>-3182</v>
      </c>
      <c r="E13" s="346">
        <v>0</v>
      </c>
      <c r="F13" s="393"/>
      <c r="G13" s="8"/>
      <c r="H13" s="81">
        <f t="shared" si="1"/>
        <v>120.73000000000002</v>
      </c>
      <c r="I13" s="303">
        <v>3182</v>
      </c>
      <c r="J13" s="83">
        <f>I13/12*Summary!$H$30</f>
        <v>2651.666666666667</v>
      </c>
      <c r="K13" s="266">
        <v>3182</v>
      </c>
      <c r="L13" s="58">
        <f t="shared" si="2"/>
        <v>-530.33333333333303</v>
      </c>
      <c r="M13" s="245"/>
      <c r="N13" s="245"/>
      <c r="O13" s="57">
        <f t="shared" si="3"/>
        <v>3005.27</v>
      </c>
      <c r="P13" s="62">
        <f>3003.84+57.43</f>
        <v>3061.27</v>
      </c>
      <c r="Q13" s="58">
        <f t="shared" si="8"/>
        <v>3061.27</v>
      </c>
      <c r="R13" s="402">
        <v>3094</v>
      </c>
      <c r="S13" s="58">
        <f t="shared" si="4"/>
        <v>-32.730000000000018</v>
      </c>
      <c r="T13" s="61"/>
      <c r="U13" s="61"/>
      <c r="V13" s="59">
        <f t="shared" si="5"/>
        <v>56</v>
      </c>
      <c r="W13" s="228">
        <v>56</v>
      </c>
      <c r="X13" s="58">
        <f t="shared" si="6"/>
        <v>46.666666666666671</v>
      </c>
      <c r="Y13" s="227">
        <v>0</v>
      </c>
      <c r="Z13" s="58">
        <f t="shared" si="7"/>
        <v>46.666666666666671</v>
      </c>
      <c r="AA13" s="61"/>
      <c r="AB13" s="228">
        <v>0</v>
      </c>
      <c r="AC13" s="58">
        <f t="shared" si="9"/>
        <v>0</v>
      </c>
      <c r="AD13" s="227">
        <v>56.41</v>
      </c>
      <c r="AE13" s="61">
        <f t="shared" si="10"/>
        <v>-56.41</v>
      </c>
      <c r="AF13" s="28"/>
      <c r="AG13" s="17"/>
    </row>
    <row r="14" spans="1:34" ht="15.6" x14ac:dyDescent="0.25">
      <c r="A14" s="56"/>
      <c r="B14" s="56"/>
      <c r="C14" s="56"/>
      <c r="D14" s="57"/>
      <c r="E14" s="62"/>
      <c r="F14" s="326"/>
      <c r="G14" s="56"/>
      <c r="H14" s="57"/>
      <c r="I14" s="317"/>
      <c r="J14" s="58"/>
      <c r="K14" s="58"/>
      <c r="L14" s="58"/>
      <c r="M14" s="245"/>
      <c r="N14" s="245"/>
      <c r="O14" s="57"/>
      <c r="P14" s="62"/>
      <c r="Q14" s="58"/>
      <c r="R14" s="58"/>
      <c r="S14" s="58"/>
      <c r="T14" s="61"/>
      <c r="U14" s="61"/>
      <c r="V14" s="59"/>
      <c r="W14" s="62"/>
      <c r="X14" s="58"/>
      <c r="Y14" s="58"/>
      <c r="Z14" s="58"/>
      <c r="AA14" s="61"/>
      <c r="AB14" s="60"/>
      <c r="AC14" s="61"/>
      <c r="AD14" s="61"/>
      <c r="AE14" s="61"/>
      <c r="AF14" s="28"/>
      <c r="AG14" s="27"/>
    </row>
    <row r="15" spans="1:34" ht="16.2" thickBot="1" x14ac:dyDescent="0.3">
      <c r="A15" s="174" t="s">
        <v>1</v>
      </c>
      <c r="B15" s="208"/>
      <c r="C15" s="208"/>
      <c r="D15" s="63">
        <f>SUM(D7:D14)</f>
        <v>7917.3499999999985</v>
      </c>
      <c r="E15" s="64">
        <f>SUM(E7:E14)</f>
        <v>47553.350000000006</v>
      </c>
      <c r="F15" s="318"/>
      <c r="G15" s="208"/>
      <c r="H15" s="63">
        <f>SUM(H7:H14)</f>
        <v>3084.3100000000013</v>
      </c>
      <c r="I15" s="336">
        <f>SUM(I7:I14)</f>
        <v>39636</v>
      </c>
      <c r="J15" s="66">
        <f>SUM(J7:J14)</f>
        <v>33030</v>
      </c>
      <c r="K15" s="66">
        <f>SUM(K7:K14)</f>
        <v>40236</v>
      </c>
      <c r="L15" s="66">
        <f>SUM(L7:L14)</f>
        <v>-7206</v>
      </c>
      <c r="M15" s="69"/>
      <c r="N15" s="69"/>
      <c r="O15" s="63">
        <f>SUM(O7:O14)</f>
        <v>5265.6899999999987</v>
      </c>
      <c r="P15" s="64">
        <f>SUM(P7:P14)</f>
        <v>36551.689999999995</v>
      </c>
      <c r="Q15" s="66">
        <f>SUM(Q7:Q14)</f>
        <v>36551.689999999995</v>
      </c>
      <c r="R15" s="66">
        <f>SUM(R7:R14)</f>
        <v>36664</v>
      </c>
      <c r="S15" s="66">
        <f>SUM(S7:S14)</f>
        <v>-112.31000000000142</v>
      </c>
      <c r="T15" s="65"/>
      <c r="U15" s="65"/>
      <c r="V15" s="63">
        <f>SUM(V7:V14)</f>
        <v>-5916</v>
      </c>
      <c r="W15" s="64">
        <f>SUM(W7:W14)</f>
        <v>31286</v>
      </c>
      <c r="X15" s="66">
        <f>SUM(X7:X14)</f>
        <v>26071.666666666672</v>
      </c>
      <c r="Y15" s="66">
        <f>SUM(Y7:Y14)</f>
        <v>-1375</v>
      </c>
      <c r="Z15" s="66">
        <f>SUM(Z7:Z14)</f>
        <v>27446.666666666672</v>
      </c>
      <c r="AA15" s="65"/>
      <c r="AB15" s="67">
        <f>SUM(AB7:AB14)</f>
        <v>37202</v>
      </c>
      <c r="AC15" s="66">
        <f>SUM(AC7:AC14)</f>
        <v>31001.666666666668</v>
      </c>
      <c r="AD15" s="66">
        <f>SUM(AD7:AD14)</f>
        <v>34604.590000000004</v>
      </c>
      <c r="AE15" s="66">
        <f>SUM(AE7:AE14)</f>
        <v>-3602.9233333333332</v>
      </c>
      <c r="AF15" s="29"/>
      <c r="AG15" s="155">
        <f>SUM(B15:AF15)</f>
        <v>455890.43666666676</v>
      </c>
      <c r="AH15" s="156" t="s">
        <v>143</v>
      </c>
    </row>
    <row r="16" spans="1:34" x14ac:dyDescent="0.25">
      <c r="O16" s="233"/>
      <c r="P16" s="233"/>
    </row>
    <row r="17" spans="1:39" x14ac:dyDescent="0.25">
      <c r="A17" s="233" t="str">
        <f>"* "&amp;Summary!$A$26</f>
        <v>* Inflation Factor, CPI to 16th September, 2020</v>
      </c>
      <c r="E17" s="353">
        <f>Summary!$E$26</f>
        <v>5.0000000000000001E-3</v>
      </c>
      <c r="H17" s="436" t="str">
        <f>Summary!$H$26</f>
        <v>October, 2019</v>
      </c>
      <c r="I17" s="353">
        <f>Summary!$I$26</f>
        <v>1.7000000000000001E-2</v>
      </c>
      <c r="J17" s="311"/>
      <c r="K17" s="311"/>
      <c r="L17" s="311"/>
      <c r="O17" s="436" t="str">
        <f>Summary!$O$26</f>
        <v>October, 2018</v>
      </c>
      <c r="P17" s="353">
        <f>Summary!$P$26</f>
        <v>2.4E-2</v>
      </c>
    </row>
    <row r="18" spans="1:39" x14ac:dyDescent="0.25">
      <c r="O18" s="233"/>
      <c r="P18" s="233"/>
    </row>
    <row r="19" spans="1:39" x14ac:dyDescent="0.25">
      <c r="F19" s="23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39" x14ac:dyDescent="0.25">
      <c r="A20" s="556" t="s">
        <v>245</v>
      </c>
      <c r="B20" s="557"/>
      <c r="C20" s="557"/>
      <c r="D20" s="558"/>
      <c r="E20" s="559">
        <v>2021</v>
      </c>
      <c r="F20" s="343"/>
      <c r="G20" s="24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39" x14ac:dyDescent="0.25">
      <c r="A21" s="560" t="s">
        <v>65</v>
      </c>
      <c r="B21" s="561"/>
      <c r="C21" s="561"/>
      <c r="D21" s="562">
        <f>E21/E23</f>
        <v>0.23000011439946003</v>
      </c>
      <c r="E21" s="563">
        <v>201.05</v>
      </c>
      <c r="F21" s="183"/>
      <c r="G21" s="241"/>
      <c r="H21" t="s">
        <v>246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9" x14ac:dyDescent="0.25">
      <c r="A22" s="560" t="s">
        <v>61</v>
      </c>
      <c r="B22" s="561"/>
      <c r="C22" s="561"/>
      <c r="D22" s="562">
        <f>E22/E23</f>
        <v>0.76999988560053989</v>
      </c>
      <c r="E22" s="563">
        <v>673.08</v>
      </c>
      <c r="F22" s="183"/>
      <c r="G22" s="241"/>
      <c r="H22" t="s">
        <v>246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39" x14ac:dyDescent="0.25">
      <c r="A23" s="556" t="s">
        <v>247</v>
      </c>
      <c r="B23" s="557"/>
      <c r="C23" s="557"/>
      <c r="D23" s="564">
        <f>SUM(D21:D22)</f>
        <v>0.99999999999999989</v>
      </c>
      <c r="E23" s="565">
        <f>SUM(E21:E22)</f>
        <v>874.13000000000011</v>
      </c>
      <c r="F23" s="566"/>
      <c r="G23" s="235"/>
      <c r="H23" s="567" t="s">
        <v>228</v>
      </c>
      <c r="I23" s="567"/>
      <c r="J23" s="567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39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39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39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39" ht="99.9" customHeight="1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39" s="294" customFormat="1" x14ac:dyDescent="0.25">
      <c r="A28" s="233"/>
      <c r="B28" s="233"/>
      <c r="C28" s="233"/>
      <c r="D28" s="233"/>
      <c r="E28" s="233"/>
      <c r="F28" s="233"/>
      <c r="G28" s="23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294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x14ac:dyDescent="0.25">
      <c r="V52" s="233"/>
      <c r="Z52" s="227"/>
    </row>
    <row r="53" spans="1:39" x14ac:dyDescent="0.25">
      <c r="V53" s="233"/>
      <c r="Z53" s="227"/>
    </row>
    <row r="54" spans="1:39" x14ac:dyDescent="0.25">
      <c r="V54" s="233"/>
      <c r="Z54" s="227"/>
    </row>
    <row r="55" spans="1:39" x14ac:dyDescent="0.25">
      <c r="V55" s="233"/>
      <c r="Z55" s="227"/>
    </row>
    <row r="56" spans="1:39" x14ac:dyDescent="0.25">
      <c r="V56" s="233"/>
      <c r="Z56" s="227"/>
    </row>
    <row r="57" spans="1:39" x14ac:dyDescent="0.25">
      <c r="V57" s="233"/>
      <c r="Z57" s="227"/>
    </row>
    <row r="58" spans="1:39" x14ac:dyDescent="0.25">
      <c r="V58" s="233"/>
      <c r="Z58" s="227"/>
    </row>
    <row r="59" spans="1:39" x14ac:dyDescent="0.25">
      <c r="V59" s="233"/>
      <c r="Z59" s="227"/>
    </row>
    <row r="60" spans="1:39" x14ac:dyDescent="0.25">
      <c r="V60" s="233"/>
      <c r="Z60" s="227"/>
    </row>
    <row r="61" spans="1:39" x14ac:dyDescent="0.25">
      <c r="V61" s="233"/>
      <c r="Z61" s="227"/>
    </row>
    <row r="62" spans="1:39" x14ac:dyDescent="0.25">
      <c r="V62" s="233"/>
      <c r="Z62" s="227"/>
    </row>
    <row r="63" spans="1:39" x14ac:dyDescent="0.25">
      <c r="V63" s="233"/>
      <c r="Z63" s="227"/>
    </row>
    <row r="64" spans="1:39" x14ac:dyDescent="0.25">
      <c r="V64" s="233"/>
      <c r="Z64" s="227"/>
    </row>
    <row r="65" spans="19:26" x14ac:dyDescent="0.25">
      <c r="V65" s="233"/>
      <c r="Z65" s="227"/>
    </row>
    <row r="66" spans="19:26" x14ac:dyDescent="0.25">
      <c r="S66" s="233"/>
      <c r="T66" s="233"/>
      <c r="U66" s="233"/>
      <c r="Z66" s="227"/>
    </row>
    <row r="67" spans="19:26" x14ac:dyDescent="0.25">
      <c r="S67" s="233"/>
      <c r="T67" s="233"/>
      <c r="U67" s="233"/>
      <c r="Z67" s="227"/>
    </row>
    <row r="68" spans="19:26" x14ac:dyDescent="0.25">
      <c r="S68" s="233"/>
      <c r="T68" s="233"/>
      <c r="U68" s="233"/>
      <c r="Z68" s="227"/>
    </row>
    <row r="69" spans="19:26" x14ac:dyDescent="0.25">
      <c r="S69" s="233"/>
      <c r="T69" s="233"/>
      <c r="U69" s="233"/>
      <c r="Z69" s="227"/>
    </row>
    <row r="70" spans="19:26" x14ac:dyDescent="0.25">
      <c r="S70" s="233"/>
      <c r="T70" s="233"/>
      <c r="U70" s="233"/>
      <c r="Z70" s="227"/>
    </row>
  </sheetData>
  <mergeCells count="17">
    <mergeCell ref="I4:J4"/>
    <mergeCell ref="O3:S3"/>
    <mergeCell ref="V3:Z3"/>
    <mergeCell ref="H4:H5"/>
    <mergeCell ref="D3:E3"/>
    <mergeCell ref="D4:D5"/>
    <mergeCell ref="E4:E5"/>
    <mergeCell ref="H3:L3"/>
    <mergeCell ref="AB3:AE3"/>
    <mergeCell ref="O4:O5"/>
    <mergeCell ref="V4:V5"/>
    <mergeCell ref="W4:X4"/>
    <mergeCell ref="AB4:AC4"/>
    <mergeCell ref="X5:Z5"/>
    <mergeCell ref="AC5:AE5"/>
    <mergeCell ref="P4:Q4"/>
    <mergeCell ref="Q5:S5"/>
  </mergeCells>
  <phoneticPr fontId="20" type="noConversion"/>
  <hyperlinks>
    <hyperlink ref="J5" r:id="rId1" display="&quot;&lt;---------- to &quot;@October ----------&gt;" xr:uid="{00000000-0004-0000-0400-000000000000}"/>
  </hyperlinks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55"/>
  <sheetViews>
    <sheetView showGridLines="0" zoomScale="80" zoomScaleNormal="80" workbookViewId="0">
      <pane ySplit="5" topLeftCell="A15" activePane="bottomLeft" state="frozen"/>
      <selection activeCell="H32" sqref="H32:I32"/>
      <selection pane="bottomLeft" activeCell="A31" sqref="A31:R42"/>
    </sheetView>
  </sheetViews>
  <sheetFormatPr defaultColWidth="9.109375" defaultRowHeight="14.4" x14ac:dyDescent="0.25"/>
  <cols>
    <col min="1" max="1" width="42.6640625" style="233" customWidth="1"/>
    <col min="2" max="3" width="1.6640625" style="233" customWidth="1"/>
    <col min="4" max="5" width="12.6640625" style="233" customWidth="1"/>
    <col min="6" max="6" width="1.6640625" style="201" customWidth="1"/>
    <col min="7" max="7" width="1.6640625" style="233" customWidth="1"/>
    <col min="8" max="8" width="12.6640625" style="233" customWidth="1"/>
    <col min="9" max="12" width="12.6640625" style="305" customWidth="1"/>
    <col min="13" max="14" width="1.6640625" style="241" customWidth="1"/>
    <col min="15" max="17" width="11.6640625" style="241" customWidth="1"/>
    <col min="18" max="19" width="11.6640625" style="233" customWidth="1"/>
    <col min="20" max="20" width="0.5546875" style="233" customWidth="1"/>
    <col min="21" max="21" width="1.6640625" style="233" customWidth="1"/>
    <col min="22" max="26" width="11.6640625" style="233" customWidth="1"/>
    <col min="27" max="27" width="2.6640625" style="233" customWidth="1"/>
    <col min="28" max="31" width="11.6640625" style="233" customWidth="1"/>
    <col min="32" max="32" width="2.6640625" style="233" customWidth="1"/>
    <col min="33" max="33" width="14.109375" style="233" customWidth="1"/>
    <col min="34" max="37" width="10.6640625" style="233" customWidth="1"/>
    <col min="38" max="16384" width="9.109375" style="233"/>
  </cols>
  <sheetData>
    <row r="1" spans="1:41" ht="21" x14ac:dyDescent="0.25">
      <c r="A1" s="20" t="s">
        <v>173</v>
      </c>
      <c r="B1" s="25"/>
      <c r="C1" s="25"/>
      <c r="D1" s="20" t="s">
        <v>172</v>
      </c>
      <c r="H1" s="181">
        <v>4</v>
      </c>
      <c r="I1" s="297"/>
      <c r="J1" s="297"/>
      <c r="K1" s="297"/>
      <c r="L1" s="297"/>
      <c r="M1" s="248"/>
      <c r="N1" s="248"/>
      <c r="O1" s="248"/>
      <c r="P1" s="248"/>
      <c r="Q1" s="248"/>
      <c r="R1" s="2"/>
      <c r="S1" s="2"/>
      <c r="T1" s="2"/>
      <c r="U1" s="2"/>
      <c r="V1" s="2"/>
      <c r="AG1" s="27"/>
      <c r="AH1" s="27"/>
    </row>
    <row r="2" spans="1:41" x14ac:dyDescent="0.25">
      <c r="H2" s="2"/>
      <c r="I2" s="298"/>
      <c r="J2" s="298"/>
      <c r="K2" s="298"/>
      <c r="L2" s="298"/>
      <c r="M2" s="250"/>
      <c r="N2" s="250"/>
      <c r="O2" s="250"/>
      <c r="P2" s="250"/>
      <c r="Q2" s="250"/>
      <c r="R2" s="2"/>
      <c r="S2" s="2"/>
      <c r="T2" s="2"/>
      <c r="U2" s="2"/>
      <c r="V2" s="2"/>
      <c r="W2" s="1"/>
    </row>
    <row r="3" spans="1:41" s="261" customFormat="1" ht="21" x14ac:dyDescent="0.4">
      <c r="A3" s="397" t="s">
        <v>201</v>
      </c>
      <c r="B3" s="20"/>
      <c r="C3" s="20"/>
      <c r="D3" s="551">
        <v>2021</v>
      </c>
      <c r="E3" s="544"/>
      <c r="F3" s="412"/>
      <c r="G3" s="20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B3" s="493">
        <v>2017</v>
      </c>
      <c r="AC3" s="524"/>
      <c r="AD3" s="524"/>
      <c r="AE3" s="525"/>
      <c r="AF3" s="262"/>
      <c r="AG3" s="264" t="s">
        <v>94</v>
      </c>
      <c r="AH3" s="263"/>
      <c r="AI3" s="263"/>
      <c r="AJ3" s="263"/>
      <c r="AK3" s="263"/>
      <c r="AL3" s="263"/>
      <c r="AM3" s="263"/>
      <c r="AN3" s="263"/>
      <c r="AO3" s="263"/>
    </row>
    <row r="4" spans="1:41" s="21" customFormat="1" ht="15" customHeight="1" x14ac:dyDescent="0.25">
      <c r="D4" s="509" t="s">
        <v>195</v>
      </c>
      <c r="E4" s="522" t="s">
        <v>44</v>
      </c>
      <c r="F4" s="413"/>
      <c r="H4" s="526" t="s">
        <v>187</v>
      </c>
      <c r="I4" s="528" t="s">
        <v>134</v>
      </c>
      <c r="J4" s="549"/>
      <c r="K4" s="340" t="s">
        <v>101</v>
      </c>
      <c r="L4" s="340" t="s">
        <v>93</v>
      </c>
      <c r="M4" s="230"/>
      <c r="N4" s="230"/>
      <c r="O4" s="538" t="s">
        <v>136</v>
      </c>
      <c r="P4" s="528" t="s">
        <v>134</v>
      </c>
      <c r="Q4" s="528"/>
      <c r="R4" s="342" t="s">
        <v>101</v>
      </c>
      <c r="S4" s="342" t="s">
        <v>93</v>
      </c>
      <c r="T4" s="342"/>
      <c r="U4" s="342"/>
      <c r="V4" s="538" t="s">
        <v>135</v>
      </c>
      <c r="W4" s="528" t="s">
        <v>134</v>
      </c>
      <c r="X4" s="528"/>
      <c r="Y4" s="342" t="s">
        <v>101</v>
      </c>
      <c r="Z4" s="342" t="s">
        <v>93</v>
      </c>
      <c r="AB4" s="528" t="s">
        <v>134</v>
      </c>
      <c r="AC4" s="529"/>
      <c r="AD4" s="342" t="s">
        <v>101</v>
      </c>
      <c r="AE4" s="342" t="s">
        <v>93</v>
      </c>
      <c r="AF4" s="342"/>
      <c r="AG4" s="23"/>
      <c r="AH4" s="12"/>
      <c r="AI4" s="12"/>
      <c r="AJ4" s="12"/>
      <c r="AK4" s="12"/>
      <c r="AL4" s="12"/>
      <c r="AM4" s="12"/>
      <c r="AN4" s="12"/>
      <c r="AO4" s="12"/>
    </row>
    <row r="5" spans="1:41" s="21" customFormat="1" x14ac:dyDescent="0.25">
      <c r="D5" s="545"/>
      <c r="E5" s="523"/>
      <c r="F5" s="30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341"/>
      <c r="N5" s="341"/>
      <c r="O5" s="550"/>
      <c r="P5" s="344" t="s">
        <v>132</v>
      </c>
      <c r="Q5" s="530" t="s">
        <v>236</v>
      </c>
      <c r="R5" s="531"/>
      <c r="S5" s="531"/>
      <c r="T5" s="343"/>
      <c r="U5" s="343"/>
      <c r="V5" s="539"/>
      <c r="W5" s="344" t="s">
        <v>132</v>
      </c>
      <c r="X5" s="530" t="s">
        <v>133</v>
      </c>
      <c r="Y5" s="531"/>
      <c r="Z5" s="531"/>
      <c r="AB5" s="344" t="s">
        <v>132</v>
      </c>
      <c r="AC5" s="530" t="s">
        <v>133</v>
      </c>
      <c r="AD5" s="531"/>
      <c r="AE5" s="531"/>
      <c r="AF5" s="342"/>
      <c r="AG5" s="23"/>
      <c r="AH5" s="12"/>
      <c r="AI5" s="12"/>
      <c r="AJ5" s="12"/>
      <c r="AK5" s="12"/>
      <c r="AL5" s="12"/>
      <c r="AM5" s="12"/>
      <c r="AN5" s="12"/>
      <c r="AO5" s="12"/>
    </row>
    <row r="6" spans="1:41" s="325" customFormat="1" x14ac:dyDescent="0.25"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B6" s="329"/>
      <c r="AC6" s="340"/>
      <c r="AD6" s="385"/>
      <c r="AE6" s="385"/>
      <c r="AF6" s="340"/>
      <c r="AG6" s="396"/>
      <c r="AH6" s="399"/>
      <c r="AI6" s="399"/>
      <c r="AJ6" s="399"/>
      <c r="AK6" s="399"/>
      <c r="AL6" s="399"/>
      <c r="AM6" s="399"/>
      <c r="AN6" s="399"/>
      <c r="AO6" s="399"/>
    </row>
    <row r="7" spans="1:41" x14ac:dyDescent="0.25">
      <c r="A7" s="4" t="s">
        <v>20</v>
      </c>
      <c r="B7" s="76"/>
      <c r="C7" s="76"/>
      <c r="D7" s="4"/>
      <c r="E7" s="302"/>
      <c r="F7" s="302"/>
      <c r="G7" s="4"/>
      <c r="H7" s="4"/>
      <c r="I7" s="302"/>
      <c r="J7" s="302"/>
      <c r="K7" s="302"/>
      <c r="L7" s="302"/>
      <c r="M7" s="239"/>
      <c r="N7" s="239"/>
      <c r="O7" s="77"/>
      <c r="P7" s="78"/>
      <c r="Q7" s="239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</row>
    <row r="8" spans="1:41" x14ac:dyDescent="0.25">
      <c r="A8" s="5" t="s">
        <v>21</v>
      </c>
      <c r="B8" s="80"/>
      <c r="C8" s="80"/>
      <c r="D8" s="81">
        <f>E8-I8</f>
        <v>0</v>
      </c>
      <c r="E8" s="259">
        <v>576</v>
      </c>
      <c r="F8" s="303"/>
      <c r="G8" s="5"/>
      <c r="H8" s="81">
        <f>I8-P8</f>
        <v>99</v>
      </c>
      <c r="I8" s="303">
        <v>576</v>
      </c>
      <c r="J8" s="83">
        <f>I8/12*Summary!$H$30</f>
        <v>480</v>
      </c>
      <c r="K8" s="268">
        <v>384</v>
      </c>
      <c r="L8" s="83">
        <f>J8-K8</f>
        <v>96</v>
      </c>
      <c r="M8" s="240"/>
      <c r="N8" s="240"/>
      <c r="O8" s="81">
        <f>P8-W8</f>
        <v>27</v>
      </c>
      <c r="P8" s="82">
        <v>477</v>
      </c>
      <c r="Q8" s="83">
        <f>P8</f>
        <v>477</v>
      </c>
      <c r="R8" s="348">
        <v>562</v>
      </c>
      <c r="S8" s="83">
        <f>Q8-R8</f>
        <v>-85</v>
      </c>
      <c r="T8" s="79"/>
      <c r="U8" s="79"/>
      <c r="V8" s="77">
        <f>W8-AB8</f>
        <v>72</v>
      </c>
      <c r="W8" s="82">
        <v>450</v>
      </c>
      <c r="X8" s="83">
        <f>W8/12*10</f>
        <v>375</v>
      </c>
      <c r="Y8" s="83">
        <v>336</v>
      </c>
      <c r="Z8" s="83">
        <f>X8-Y8</f>
        <v>39</v>
      </c>
      <c r="AA8" s="79"/>
      <c r="AB8" s="78">
        <v>378</v>
      </c>
      <c r="AC8" s="83">
        <f>AB8/12*10</f>
        <v>315</v>
      </c>
      <c r="AD8" s="79">
        <v>369.45</v>
      </c>
      <c r="AE8" s="79">
        <f>AC8-AD8</f>
        <v>-54.449999999999989</v>
      </c>
      <c r="AF8" s="11"/>
    </row>
    <row r="9" spans="1:41" x14ac:dyDescent="0.25">
      <c r="A9" s="5" t="s">
        <v>14</v>
      </c>
      <c r="B9" s="80" t="s">
        <v>228</v>
      </c>
      <c r="C9" s="80"/>
      <c r="D9" s="81">
        <f>E9-I9</f>
        <v>0</v>
      </c>
      <c r="E9" s="346">
        <v>90</v>
      </c>
      <c r="F9" s="393"/>
      <c r="G9" s="5"/>
      <c r="H9" s="81">
        <f>I9-P9</f>
        <v>-2.1599999999999966</v>
      </c>
      <c r="I9" s="303">
        <v>90</v>
      </c>
      <c r="J9" s="83">
        <f>I9/12*Summary!$H$30</f>
        <v>75</v>
      </c>
      <c r="K9" s="268">
        <v>30</v>
      </c>
      <c r="L9" s="83">
        <f>J9-K9</f>
        <v>45</v>
      </c>
      <c r="M9" s="243"/>
      <c r="N9" s="243"/>
      <c r="O9" s="81">
        <f>P9-W9</f>
        <v>2.1599999999999966</v>
      </c>
      <c r="P9" s="82">
        <f>W9+(W9*$P$30)</f>
        <v>92.16</v>
      </c>
      <c r="Q9" s="83">
        <f t="shared" ref="Q9:Q11" si="0">P9</f>
        <v>92.16</v>
      </c>
      <c r="R9" s="348">
        <v>90</v>
      </c>
      <c r="S9" s="83">
        <f>Q9-R9</f>
        <v>2.1599999999999966</v>
      </c>
      <c r="T9" s="79"/>
      <c r="U9" s="79"/>
      <c r="V9" s="77">
        <f t="shared" ref="V9:V10" si="1">W9-AB9</f>
        <v>0</v>
      </c>
      <c r="W9" s="82">
        <v>90</v>
      </c>
      <c r="X9" s="83">
        <f>W9/12*10</f>
        <v>75</v>
      </c>
      <c r="Y9" s="83">
        <v>75</v>
      </c>
      <c r="Z9" s="83">
        <f>X9-Y9</f>
        <v>0</v>
      </c>
      <c r="AA9" s="79"/>
      <c r="AB9" s="78">
        <v>90</v>
      </c>
      <c r="AC9" s="83">
        <f>AB9/12*10</f>
        <v>75</v>
      </c>
      <c r="AD9" s="79">
        <v>75</v>
      </c>
      <c r="AE9" s="79">
        <f>AC9-AD9</f>
        <v>0</v>
      </c>
      <c r="AF9" s="11"/>
      <c r="AH9" s="17"/>
    </row>
    <row r="10" spans="1:41" ht="16.2" x14ac:dyDescent="0.25">
      <c r="A10" s="5" t="s">
        <v>166</v>
      </c>
      <c r="B10" s="80" t="s">
        <v>228</v>
      </c>
      <c r="C10" s="80"/>
      <c r="D10" s="81">
        <f>E10-I10</f>
        <v>536</v>
      </c>
      <c r="E10" s="346">
        <v>650</v>
      </c>
      <c r="F10" s="393"/>
      <c r="G10" s="5"/>
      <c r="H10" s="81">
        <f>I10-P10</f>
        <v>-90.800000000000011</v>
      </c>
      <c r="I10" s="303">
        <v>114</v>
      </c>
      <c r="J10" s="83">
        <f>I10/12*Summary!$H$30</f>
        <v>95</v>
      </c>
      <c r="K10" s="268">
        <v>293</v>
      </c>
      <c r="L10" s="83">
        <f>J10-K10</f>
        <v>-198</v>
      </c>
      <c r="M10" s="243"/>
      <c r="N10" s="243"/>
      <c r="O10" s="81">
        <f>P10-W10</f>
        <v>4.8000000000000114</v>
      </c>
      <c r="P10" s="82">
        <f>W10+(W10*$P$30)</f>
        <v>204.8</v>
      </c>
      <c r="Q10" s="83">
        <f t="shared" si="0"/>
        <v>204.8</v>
      </c>
      <c r="R10" s="348">
        <v>105</v>
      </c>
      <c r="S10" s="83">
        <f>Q10-R10</f>
        <v>99.800000000000011</v>
      </c>
      <c r="T10" s="79"/>
      <c r="U10" s="79"/>
      <c r="V10" s="77">
        <f t="shared" si="1"/>
        <v>50</v>
      </c>
      <c r="W10" s="82">
        <v>200</v>
      </c>
      <c r="X10" s="83">
        <f>W10/12*10</f>
        <v>166.66666666666669</v>
      </c>
      <c r="Y10" s="83">
        <v>2256.42</v>
      </c>
      <c r="Z10" s="83">
        <f>X10-Y10</f>
        <v>-2089.7533333333336</v>
      </c>
      <c r="AA10" s="79"/>
      <c r="AB10" s="78">
        <v>150</v>
      </c>
      <c r="AC10" s="83">
        <f>AB10/12*10</f>
        <v>125</v>
      </c>
      <c r="AD10" s="79">
        <v>174.42</v>
      </c>
      <c r="AE10" s="79">
        <f>AC10-AD10</f>
        <v>-49.419999999999987</v>
      </c>
      <c r="AF10" s="11"/>
      <c r="AG10" s="6"/>
    </row>
    <row r="11" spans="1:41" x14ac:dyDescent="0.25">
      <c r="A11" s="5" t="s">
        <v>127</v>
      </c>
      <c r="B11" s="80"/>
      <c r="C11" s="80"/>
      <c r="D11" s="81">
        <f>E11-I11</f>
        <v>0</v>
      </c>
      <c r="E11" s="259">
        <v>252</v>
      </c>
      <c r="F11" s="303"/>
      <c r="G11" s="5"/>
      <c r="H11" s="81">
        <f>I11-P11</f>
        <v>0</v>
      </c>
      <c r="I11" s="303">
        <v>252</v>
      </c>
      <c r="J11" s="83">
        <f>I11/12*Summary!$H$30</f>
        <v>210</v>
      </c>
      <c r="K11" s="268">
        <v>252</v>
      </c>
      <c r="L11" s="83">
        <f>J11-K11</f>
        <v>-42</v>
      </c>
      <c r="M11" s="240"/>
      <c r="N11" s="240"/>
      <c r="O11" s="81">
        <f>P11-W11</f>
        <v>252</v>
      </c>
      <c r="P11" s="82">
        <f>210*1.2</f>
        <v>252</v>
      </c>
      <c r="Q11" s="83">
        <f t="shared" si="0"/>
        <v>252</v>
      </c>
      <c r="R11" s="348">
        <v>252</v>
      </c>
      <c r="S11" s="83">
        <f>Q11-R11</f>
        <v>0</v>
      </c>
      <c r="T11" s="79"/>
      <c r="U11" s="79"/>
      <c r="V11" s="77"/>
      <c r="W11" s="82"/>
      <c r="X11" s="83"/>
      <c r="Y11" s="83"/>
      <c r="Z11" s="83">
        <f>X11-Y11</f>
        <v>0</v>
      </c>
      <c r="AA11" s="79"/>
      <c r="AB11" s="78"/>
      <c r="AC11" s="79"/>
      <c r="AD11" s="79"/>
      <c r="AE11" s="79"/>
      <c r="AF11" s="11"/>
      <c r="AH11" s="17"/>
    </row>
    <row r="12" spans="1:41" x14ac:dyDescent="0.25">
      <c r="A12" s="5"/>
      <c r="B12" s="80"/>
      <c r="C12" s="80"/>
      <c r="D12" s="81"/>
      <c r="E12" s="243"/>
      <c r="F12" s="303"/>
      <c r="G12" s="5"/>
      <c r="H12" s="81"/>
      <c r="I12" s="276"/>
      <c r="J12" s="83"/>
      <c r="K12" s="83"/>
      <c r="L12" s="83"/>
      <c r="M12" s="240"/>
      <c r="N12" s="240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  <c r="AH12" s="18"/>
    </row>
    <row r="13" spans="1:41" s="12" customFormat="1" ht="15" thickBot="1" x14ac:dyDescent="0.35">
      <c r="A13" s="135" t="s">
        <v>139</v>
      </c>
      <c r="B13" s="76"/>
      <c r="C13" s="76"/>
      <c r="D13" s="85">
        <f>SUM(D7:D12)</f>
        <v>536</v>
      </c>
      <c r="E13" s="86">
        <f>SUM(E7:E12)</f>
        <v>1568</v>
      </c>
      <c r="F13" s="304"/>
      <c r="G13" s="147"/>
      <c r="H13" s="85">
        <f>SUM(H7:H12)</f>
        <v>6.039999999999992</v>
      </c>
      <c r="I13" s="331">
        <f>SUM(I7:I12)</f>
        <v>1032</v>
      </c>
      <c r="J13" s="88">
        <f t="shared" ref="J13:L13" si="2">SUM(J7:J12)</f>
        <v>860</v>
      </c>
      <c r="K13" s="88">
        <f t="shared" si="2"/>
        <v>959</v>
      </c>
      <c r="L13" s="88">
        <f t="shared" si="2"/>
        <v>-99</v>
      </c>
      <c r="M13" s="100"/>
      <c r="N13" s="100"/>
      <c r="O13" s="85">
        <f>SUM(O7:O12)</f>
        <v>285.96000000000004</v>
      </c>
      <c r="P13" s="86">
        <f>SUM(P7:P12)</f>
        <v>1025.96</v>
      </c>
      <c r="Q13" s="88">
        <f t="shared" ref="Q13:S13" si="3">SUM(Q7:Q12)</f>
        <v>1025.96</v>
      </c>
      <c r="R13" s="349">
        <f t="shared" si="3"/>
        <v>1009</v>
      </c>
      <c r="S13" s="88">
        <f t="shared" si="3"/>
        <v>16.960000000000008</v>
      </c>
      <c r="T13" s="87"/>
      <c r="U13" s="87"/>
      <c r="V13" s="85">
        <f t="shared" ref="V13:Z13" si="4">SUM(V7:V12)</f>
        <v>122</v>
      </c>
      <c r="W13" s="86">
        <f t="shared" si="4"/>
        <v>740</v>
      </c>
      <c r="X13" s="88">
        <f t="shared" si="4"/>
        <v>616.66666666666674</v>
      </c>
      <c r="Y13" s="88">
        <f t="shared" si="4"/>
        <v>2667.42</v>
      </c>
      <c r="Z13" s="88">
        <f t="shared" si="4"/>
        <v>-2050.7533333333336</v>
      </c>
      <c r="AA13" s="87"/>
      <c r="AB13" s="98">
        <f t="shared" ref="AB13:AE13" si="5">SUM(AB7:AB12)</f>
        <v>618</v>
      </c>
      <c r="AC13" s="88">
        <f t="shared" si="5"/>
        <v>515</v>
      </c>
      <c r="AD13" s="88">
        <f t="shared" si="5"/>
        <v>618.87</v>
      </c>
      <c r="AE13" s="88">
        <f t="shared" si="5"/>
        <v>-103.86999999999998</v>
      </c>
      <c r="AF13" s="13"/>
      <c r="AG13" s="233"/>
    </row>
    <row r="14" spans="1:41" s="12" customFormat="1" x14ac:dyDescent="0.25">
      <c r="A14" s="4"/>
      <c r="B14" s="76"/>
      <c r="C14" s="76"/>
      <c r="D14" s="99"/>
      <c r="E14" s="242"/>
      <c r="F14" s="314"/>
      <c r="G14" s="4"/>
      <c r="H14" s="99"/>
      <c r="I14" s="302"/>
      <c r="J14" s="102"/>
      <c r="K14" s="102"/>
      <c r="L14" s="102"/>
      <c r="M14" s="239"/>
      <c r="N14" s="239"/>
      <c r="O14" s="99"/>
      <c r="P14" s="100"/>
      <c r="Q14" s="102"/>
      <c r="R14" s="350"/>
      <c r="S14" s="102"/>
      <c r="T14" s="87"/>
      <c r="U14" s="87"/>
      <c r="V14" s="101"/>
      <c r="W14" s="100"/>
      <c r="X14" s="102"/>
      <c r="Y14" s="102"/>
      <c r="Z14" s="102"/>
      <c r="AA14" s="87"/>
      <c r="AB14" s="78"/>
      <c r="AC14" s="79"/>
      <c r="AD14" s="87"/>
      <c r="AE14" s="87"/>
      <c r="AF14" s="13"/>
      <c r="AG14" s="233"/>
    </row>
    <row r="15" spans="1:41" x14ac:dyDescent="0.25">
      <c r="A15" s="7" t="s">
        <v>23</v>
      </c>
      <c r="B15" s="345"/>
      <c r="C15" s="345"/>
      <c r="D15" s="81"/>
      <c r="E15" s="242"/>
      <c r="F15" s="314"/>
      <c r="G15" s="7"/>
      <c r="H15" s="81"/>
      <c r="I15" s="302"/>
      <c r="J15" s="83"/>
      <c r="K15" s="83"/>
      <c r="L15" s="83"/>
      <c r="M15" s="239"/>
      <c r="N15" s="239"/>
      <c r="O15" s="81"/>
      <c r="P15" s="82"/>
      <c r="Q15" s="83"/>
      <c r="R15" s="348"/>
      <c r="S15" s="83"/>
      <c r="T15" s="79"/>
      <c r="U15" s="79"/>
      <c r="V15" s="77"/>
      <c r="W15" s="82"/>
      <c r="X15" s="83"/>
      <c r="Y15" s="83"/>
      <c r="Z15" s="83"/>
      <c r="AA15" s="79"/>
      <c r="AB15" s="78"/>
      <c r="AC15" s="79"/>
      <c r="AD15" s="79"/>
      <c r="AE15" s="79"/>
      <c r="AF15" s="11"/>
    </row>
    <row r="16" spans="1:41" x14ac:dyDescent="0.25">
      <c r="A16" s="5" t="s">
        <v>22</v>
      </c>
      <c r="B16" s="80" t="s">
        <v>228</v>
      </c>
      <c r="C16" s="80"/>
      <c r="D16" s="81">
        <f t="shared" ref="D16:D20" si="6">E16-I16</f>
        <v>0</v>
      </c>
      <c r="E16" s="346">
        <v>200</v>
      </c>
      <c r="F16" s="393"/>
      <c r="G16" s="5"/>
      <c r="H16" s="81">
        <f>I16-P16</f>
        <v>-4.8000000000000114</v>
      </c>
      <c r="I16" s="303">
        <v>200</v>
      </c>
      <c r="J16" s="83">
        <f>I16/12*Summary!$H$30</f>
        <v>166.66666666666669</v>
      </c>
      <c r="K16" s="268">
        <v>23</v>
      </c>
      <c r="L16" s="83">
        <f t="shared" ref="L16:L20" si="7">J16-K16</f>
        <v>143.66666666666669</v>
      </c>
      <c r="M16" s="243"/>
      <c r="N16" s="243"/>
      <c r="O16" s="81">
        <f t="shared" ref="O16:O20" si="8">P16-W16</f>
        <v>4.8000000000000114</v>
      </c>
      <c r="P16" s="82">
        <f t="shared" ref="P16:P19" si="9">W16+(W16*$P$30)</f>
        <v>204.8</v>
      </c>
      <c r="Q16" s="83">
        <f t="shared" ref="Q16:Q20" si="10">P16</f>
        <v>204.8</v>
      </c>
      <c r="R16" s="348">
        <v>125</v>
      </c>
      <c r="S16" s="83">
        <f t="shared" ref="S16:S20" si="11">Q16-R16</f>
        <v>79.800000000000011</v>
      </c>
      <c r="T16" s="79"/>
      <c r="U16" s="79"/>
      <c r="V16" s="77">
        <f t="shared" ref="V16:V20" si="12">W16-AB16</f>
        <v>0</v>
      </c>
      <c r="W16" s="82">
        <v>200</v>
      </c>
      <c r="X16" s="83">
        <f t="shared" ref="X16:X20" si="13">W16/12*10</f>
        <v>166.66666666666669</v>
      </c>
      <c r="Y16" s="83">
        <v>458.84</v>
      </c>
      <c r="Z16" s="83">
        <f t="shared" ref="Z16:Z20" si="14">X16-Y16</f>
        <v>-292.17333333333329</v>
      </c>
      <c r="AA16" s="79"/>
      <c r="AB16" s="78">
        <v>200</v>
      </c>
      <c r="AC16" s="83">
        <f t="shared" ref="AC16:AC20" si="15">AB16/12*10</f>
        <v>166.66666666666669</v>
      </c>
      <c r="AD16" s="79">
        <v>195</v>
      </c>
      <c r="AE16" s="79">
        <f t="shared" ref="AE16:AE20" si="16">AC16-AD16</f>
        <v>-28.333333333333314</v>
      </c>
      <c r="AF16" s="11"/>
    </row>
    <row r="17" spans="1:34" x14ac:dyDescent="0.25">
      <c r="A17" s="5" t="s">
        <v>16</v>
      </c>
      <c r="B17" s="80" t="s">
        <v>228</v>
      </c>
      <c r="C17" s="80"/>
      <c r="D17" s="81">
        <f t="shared" si="6"/>
        <v>0</v>
      </c>
      <c r="E17" s="346">
        <v>50</v>
      </c>
      <c r="F17" s="393"/>
      <c r="G17" s="5"/>
      <c r="H17" s="81">
        <f>I17-P17</f>
        <v>-1.2000000000000028</v>
      </c>
      <c r="I17" s="303">
        <v>50</v>
      </c>
      <c r="J17" s="83">
        <f>I17/12*Summary!$H$30</f>
        <v>41.666666666666671</v>
      </c>
      <c r="K17" s="268">
        <v>0</v>
      </c>
      <c r="L17" s="83">
        <f t="shared" si="7"/>
        <v>41.666666666666671</v>
      </c>
      <c r="M17" s="243"/>
      <c r="N17" s="243"/>
      <c r="O17" s="81">
        <f t="shared" si="8"/>
        <v>1.2000000000000028</v>
      </c>
      <c r="P17" s="82">
        <f t="shared" si="9"/>
        <v>51.2</v>
      </c>
      <c r="Q17" s="83">
        <f t="shared" si="10"/>
        <v>51.2</v>
      </c>
      <c r="R17" s="348">
        <v>0</v>
      </c>
      <c r="S17" s="83">
        <f t="shared" si="11"/>
        <v>51.2</v>
      </c>
      <c r="T17" s="79"/>
      <c r="U17" s="79"/>
      <c r="V17" s="77">
        <f t="shared" si="12"/>
        <v>0</v>
      </c>
      <c r="W17" s="82">
        <v>50</v>
      </c>
      <c r="X17" s="83">
        <f t="shared" si="13"/>
        <v>41.666666666666671</v>
      </c>
      <c r="Y17" s="83"/>
      <c r="Z17" s="83">
        <f t="shared" si="14"/>
        <v>41.666666666666671</v>
      </c>
      <c r="AA17" s="79"/>
      <c r="AB17" s="78">
        <v>50</v>
      </c>
      <c r="AC17" s="83">
        <f t="shared" si="15"/>
        <v>41.666666666666671</v>
      </c>
      <c r="AD17" s="79">
        <v>37.94</v>
      </c>
      <c r="AE17" s="79">
        <f t="shared" si="16"/>
        <v>3.7266666666666737</v>
      </c>
      <c r="AF17" s="11"/>
    </row>
    <row r="18" spans="1:34" x14ac:dyDescent="0.25">
      <c r="A18" s="5" t="s">
        <v>12</v>
      </c>
      <c r="B18" s="80" t="s">
        <v>228</v>
      </c>
      <c r="C18" s="80"/>
      <c r="D18" s="81">
        <f t="shared" si="6"/>
        <v>-25</v>
      </c>
      <c r="E18" s="346">
        <v>25</v>
      </c>
      <c r="F18" s="393"/>
      <c r="G18" s="5"/>
      <c r="H18" s="81">
        <f>I18-P18</f>
        <v>-1.2000000000000028</v>
      </c>
      <c r="I18" s="303">
        <v>50</v>
      </c>
      <c r="J18" s="83">
        <f>I18/12*Summary!$H$30</f>
        <v>41.666666666666671</v>
      </c>
      <c r="K18" s="268">
        <v>0</v>
      </c>
      <c r="L18" s="83">
        <f t="shared" si="7"/>
        <v>41.666666666666671</v>
      </c>
      <c r="M18" s="243"/>
      <c r="N18" s="243"/>
      <c r="O18" s="81">
        <f t="shared" si="8"/>
        <v>1.2000000000000028</v>
      </c>
      <c r="P18" s="82">
        <f t="shared" si="9"/>
        <v>51.2</v>
      </c>
      <c r="Q18" s="83">
        <f t="shared" si="10"/>
        <v>51.2</v>
      </c>
      <c r="R18" s="348">
        <v>76</v>
      </c>
      <c r="S18" s="83">
        <f t="shared" si="11"/>
        <v>-24.799999999999997</v>
      </c>
      <c r="T18" s="79"/>
      <c r="U18" s="79"/>
      <c r="V18" s="77">
        <f t="shared" si="12"/>
        <v>-3</v>
      </c>
      <c r="W18" s="82">
        <v>50</v>
      </c>
      <c r="X18" s="83">
        <f t="shared" si="13"/>
        <v>41.666666666666671</v>
      </c>
      <c r="Y18" s="83">
        <v>45</v>
      </c>
      <c r="Z18" s="83">
        <f t="shared" si="14"/>
        <v>-3.3333333333333286</v>
      </c>
      <c r="AA18" s="79"/>
      <c r="AB18" s="78">
        <v>53</v>
      </c>
      <c r="AC18" s="83">
        <f t="shared" si="15"/>
        <v>44.166666666666671</v>
      </c>
      <c r="AD18" s="79">
        <v>45</v>
      </c>
      <c r="AE18" s="79">
        <f t="shared" si="16"/>
        <v>-0.8333333333333286</v>
      </c>
      <c r="AF18" s="11"/>
    </row>
    <row r="19" spans="1:34" x14ac:dyDescent="0.25">
      <c r="A19" s="5" t="s">
        <v>50</v>
      </c>
      <c r="B19" s="80" t="s">
        <v>228</v>
      </c>
      <c r="C19" s="80"/>
      <c r="D19" s="81">
        <f t="shared" si="6"/>
        <v>0</v>
      </c>
      <c r="E19" s="346">
        <v>51</v>
      </c>
      <c r="F19" s="393"/>
      <c r="G19" s="5"/>
      <c r="H19" s="81">
        <f>I19-P19</f>
        <v>-0.20000000000000284</v>
      </c>
      <c r="I19" s="303">
        <v>51</v>
      </c>
      <c r="J19" s="83">
        <f>I19/12*Summary!$H$30</f>
        <v>42.5</v>
      </c>
      <c r="K19" s="268">
        <v>0</v>
      </c>
      <c r="L19" s="83">
        <f t="shared" si="7"/>
        <v>42.5</v>
      </c>
      <c r="M19" s="243"/>
      <c r="N19" s="243"/>
      <c r="O19" s="81">
        <f t="shared" si="8"/>
        <v>1.2000000000000028</v>
      </c>
      <c r="P19" s="82">
        <f t="shared" si="9"/>
        <v>51.2</v>
      </c>
      <c r="Q19" s="83">
        <f t="shared" si="10"/>
        <v>51.2</v>
      </c>
      <c r="R19" s="348">
        <v>116</v>
      </c>
      <c r="S19" s="83">
        <f t="shared" si="11"/>
        <v>-64.8</v>
      </c>
      <c r="T19" s="79"/>
      <c r="U19" s="79"/>
      <c r="V19" s="77">
        <f t="shared" si="12"/>
        <v>0</v>
      </c>
      <c r="W19" s="82">
        <v>50</v>
      </c>
      <c r="X19" s="83">
        <f t="shared" si="13"/>
        <v>41.666666666666671</v>
      </c>
      <c r="Y19" s="83">
        <v>30</v>
      </c>
      <c r="Z19" s="83">
        <f t="shared" si="14"/>
        <v>11.666666666666671</v>
      </c>
      <c r="AA19" s="79"/>
      <c r="AB19" s="78">
        <v>50</v>
      </c>
      <c r="AC19" s="83">
        <f t="shared" si="15"/>
        <v>41.666666666666671</v>
      </c>
      <c r="AD19" s="79">
        <v>20</v>
      </c>
      <c r="AE19" s="79">
        <f t="shared" si="16"/>
        <v>21.666666666666671</v>
      </c>
      <c r="AF19" s="11"/>
    </row>
    <row r="20" spans="1:34" x14ac:dyDescent="0.25">
      <c r="A20" s="5" t="s">
        <v>126</v>
      </c>
      <c r="B20" s="5"/>
      <c r="C20" s="5"/>
      <c r="D20" s="81">
        <f t="shared" si="6"/>
        <v>0</v>
      </c>
      <c r="E20" s="259">
        <v>0</v>
      </c>
      <c r="F20" s="303"/>
      <c r="G20" s="5"/>
      <c r="H20" s="81">
        <f>I20-P20</f>
        <v>-118.03174603174604</v>
      </c>
      <c r="I20" s="303">
        <v>0</v>
      </c>
      <c r="J20" s="83">
        <f>I20/12*Summary!$H$30</f>
        <v>0</v>
      </c>
      <c r="K20" s="268">
        <v>0</v>
      </c>
      <c r="L20" s="83">
        <f t="shared" si="7"/>
        <v>0</v>
      </c>
      <c r="M20" s="240"/>
      <c r="N20" s="240"/>
      <c r="O20" s="81">
        <f t="shared" si="8"/>
        <v>118.03174603174604</v>
      </c>
      <c r="P20" s="82">
        <f>Reserves!X8</f>
        <v>118.03174603174604</v>
      </c>
      <c r="Q20" s="83">
        <f t="shared" si="10"/>
        <v>118.03174603174604</v>
      </c>
      <c r="R20" s="348">
        <v>190</v>
      </c>
      <c r="S20" s="83">
        <f t="shared" si="11"/>
        <v>-71.968253968253961</v>
      </c>
      <c r="T20" s="79"/>
      <c r="U20" s="79"/>
      <c r="V20" s="77">
        <f t="shared" si="12"/>
        <v>0</v>
      </c>
      <c r="W20" s="82">
        <v>0</v>
      </c>
      <c r="X20" s="83">
        <f t="shared" si="13"/>
        <v>0</v>
      </c>
      <c r="Y20" s="83">
        <v>0</v>
      </c>
      <c r="Z20" s="83">
        <f t="shared" si="14"/>
        <v>0</v>
      </c>
      <c r="AA20" s="79"/>
      <c r="AB20" s="78">
        <v>0</v>
      </c>
      <c r="AC20" s="79">
        <f t="shared" si="15"/>
        <v>0</v>
      </c>
      <c r="AD20" s="79">
        <v>0</v>
      </c>
      <c r="AE20" s="79">
        <f t="shared" si="16"/>
        <v>0</v>
      </c>
      <c r="AF20" s="11"/>
      <c r="AG20" s="17"/>
    </row>
    <row r="21" spans="1:34" x14ac:dyDescent="0.25">
      <c r="A21" s="5"/>
      <c r="B21" s="5"/>
      <c r="C21" s="5"/>
      <c r="D21" s="81"/>
      <c r="E21" s="243"/>
      <c r="F21" s="303"/>
      <c r="G21" s="5"/>
      <c r="H21" s="81"/>
      <c r="I21" s="276"/>
      <c r="J21" s="83"/>
      <c r="K21" s="83"/>
      <c r="L21" s="83"/>
      <c r="M21" s="240"/>
      <c r="N21" s="240"/>
      <c r="O21" s="81"/>
      <c r="P21" s="82"/>
      <c r="Q21" s="83"/>
      <c r="R21" s="83"/>
      <c r="S21" s="83"/>
      <c r="T21" s="79"/>
      <c r="U21" s="79"/>
      <c r="V21" s="77"/>
      <c r="W21" s="82"/>
      <c r="X21" s="83"/>
      <c r="Y21" s="83"/>
      <c r="Z21" s="83"/>
      <c r="AA21" s="79"/>
      <c r="AB21" s="78"/>
      <c r="AC21" s="79"/>
      <c r="AD21" s="79"/>
      <c r="AE21" s="79"/>
      <c r="AF21" s="11"/>
    </row>
    <row r="22" spans="1:34" s="12" customFormat="1" ht="15" thickBot="1" x14ac:dyDescent="0.35">
      <c r="A22" s="135" t="s">
        <v>140</v>
      </c>
      <c r="B22" s="147"/>
      <c r="C22" s="147"/>
      <c r="D22" s="85">
        <f>SUM(D15:D21)</f>
        <v>-25</v>
      </c>
      <c r="E22" s="86">
        <f>SUM(E15:E21)</f>
        <v>326</v>
      </c>
      <c r="F22" s="304"/>
      <c r="G22" s="147"/>
      <c r="H22" s="85">
        <f>SUM(H15:H21)</f>
        <v>-125.43174603174606</v>
      </c>
      <c r="I22" s="331">
        <f>SUM(I15:I21)</f>
        <v>351</v>
      </c>
      <c r="J22" s="88">
        <f>SUM(J15:J21)</f>
        <v>292.50000000000006</v>
      </c>
      <c r="K22" s="88">
        <f>SUM(K15:K21)</f>
        <v>23</v>
      </c>
      <c r="L22" s="88">
        <f>SUM(L15:L21)</f>
        <v>269.50000000000006</v>
      </c>
      <c r="M22" s="100"/>
      <c r="N22" s="100"/>
      <c r="O22" s="85">
        <f>SUM(O15:O21)</f>
        <v>126.43174603174606</v>
      </c>
      <c r="P22" s="86">
        <f>SUM(P15:P21)</f>
        <v>476.431746031746</v>
      </c>
      <c r="Q22" s="88">
        <f>SUM(Q15:Q21)</f>
        <v>476.431746031746</v>
      </c>
      <c r="R22" s="88">
        <f>SUM(R15:R21)</f>
        <v>507</v>
      </c>
      <c r="S22" s="88">
        <f>SUM(S15:S21)</f>
        <v>-30.568253968253956</v>
      </c>
      <c r="T22" s="87"/>
      <c r="U22" s="87"/>
      <c r="V22" s="85">
        <f>SUM(V15:V21)</f>
        <v>-3</v>
      </c>
      <c r="W22" s="86">
        <f>SUM(W15:W21)</f>
        <v>350</v>
      </c>
      <c r="X22" s="88">
        <f>SUM(X15:X21)</f>
        <v>291.66666666666674</v>
      </c>
      <c r="Y22" s="88">
        <f>SUM(Y15:Y21)</f>
        <v>533.83999999999992</v>
      </c>
      <c r="Z22" s="88">
        <f>SUM(Z15:Z21)</f>
        <v>-242.17333333333323</v>
      </c>
      <c r="AA22" s="87"/>
      <c r="AB22" s="86">
        <f>SUM(AB15:AB21)</f>
        <v>353</v>
      </c>
      <c r="AC22" s="88">
        <f>SUM(AC15:AC21)</f>
        <v>294.16666666666674</v>
      </c>
      <c r="AD22" s="88">
        <f>SUM(AD15:AD21)</f>
        <v>297.94</v>
      </c>
      <c r="AE22" s="88">
        <f>SUM(AE15:AE21)</f>
        <v>-3.7733333333332979</v>
      </c>
      <c r="AF22" s="13"/>
    </row>
    <row r="23" spans="1:34" s="12" customFormat="1" x14ac:dyDescent="0.25">
      <c r="A23" s="7"/>
      <c r="B23" s="7"/>
      <c r="C23" s="7"/>
      <c r="D23" s="99"/>
      <c r="E23" s="100"/>
      <c r="F23" s="304"/>
      <c r="G23" s="7"/>
      <c r="H23" s="99"/>
      <c r="I23" s="304"/>
      <c r="J23" s="102"/>
      <c r="K23" s="102"/>
      <c r="L23" s="102"/>
      <c r="M23" s="100"/>
      <c r="N23" s="100"/>
      <c r="O23" s="99"/>
      <c r="P23" s="100"/>
      <c r="Q23" s="102"/>
      <c r="R23" s="102"/>
      <c r="S23" s="102"/>
      <c r="T23" s="87"/>
      <c r="U23" s="87"/>
      <c r="V23" s="99"/>
      <c r="W23" s="100"/>
      <c r="X23" s="102"/>
      <c r="Y23" s="102"/>
      <c r="Z23" s="102"/>
      <c r="AA23" s="87"/>
      <c r="AB23" s="103"/>
      <c r="AC23" s="79"/>
      <c r="AD23" s="87"/>
      <c r="AE23" s="87"/>
      <c r="AF23" s="13"/>
    </row>
    <row r="24" spans="1:34" s="12" customFormat="1" ht="15" thickBot="1" x14ac:dyDescent="0.35">
      <c r="A24" s="135" t="s">
        <v>138</v>
      </c>
      <c r="B24" s="147"/>
      <c r="C24" s="147"/>
      <c r="D24" s="85">
        <f>SUM(D13+D22)</f>
        <v>511</v>
      </c>
      <c r="E24" s="86">
        <f>SUM(E13+E22)</f>
        <v>1894</v>
      </c>
      <c r="F24" s="304"/>
      <c r="G24" s="147"/>
      <c r="H24" s="85">
        <f>SUM(H13+H22)</f>
        <v>-119.39174603174607</v>
      </c>
      <c r="I24" s="331">
        <f>SUM(I13+I22)</f>
        <v>1383</v>
      </c>
      <c r="J24" s="88">
        <f>SUM(J13+J22)</f>
        <v>1152.5</v>
      </c>
      <c r="K24" s="88">
        <f>SUM(K13+K22)</f>
        <v>982</v>
      </c>
      <c r="L24" s="88">
        <f>SUM(L13+L22)</f>
        <v>170.50000000000006</v>
      </c>
      <c r="M24" s="100"/>
      <c r="N24" s="100"/>
      <c r="O24" s="85">
        <f>SUM(O13+O22)</f>
        <v>412.3917460317461</v>
      </c>
      <c r="P24" s="86">
        <f>SUM(P13+P22)</f>
        <v>1502.3917460317462</v>
      </c>
      <c r="Q24" s="88">
        <f>SUM(Q13+Q22)</f>
        <v>1502.3917460317462</v>
      </c>
      <c r="R24" s="88">
        <f>SUM(R13+R22)</f>
        <v>1516</v>
      </c>
      <c r="S24" s="88">
        <f>SUM(S13+S22)</f>
        <v>-13.608253968253948</v>
      </c>
      <c r="T24" s="87"/>
      <c r="U24" s="87"/>
      <c r="V24" s="85">
        <f>SUM(V13+V22)</f>
        <v>119</v>
      </c>
      <c r="W24" s="86">
        <f>SUM(W13+W22)</f>
        <v>1090</v>
      </c>
      <c r="X24" s="88">
        <f>SUM(X13+X22)</f>
        <v>908.33333333333348</v>
      </c>
      <c r="Y24" s="88">
        <f>SUM(Y13+Y22)</f>
        <v>3201.26</v>
      </c>
      <c r="Z24" s="88">
        <f>SUM(Z13+Z22)</f>
        <v>-2292.9266666666667</v>
      </c>
      <c r="AA24" s="87"/>
      <c r="AB24" s="86">
        <f>SUM(AB13+AB22)</f>
        <v>971</v>
      </c>
      <c r="AC24" s="88">
        <f>SUM(AC13+AC22)</f>
        <v>809.16666666666674</v>
      </c>
      <c r="AD24" s="88">
        <f>SUM(AD13+AD22)</f>
        <v>916.81</v>
      </c>
      <c r="AE24" s="88">
        <f>SUM(AE13+AE22)</f>
        <v>-107.64333333333327</v>
      </c>
      <c r="AF24" s="13"/>
    </row>
    <row r="25" spans="1:34" s="12" customFormat="1" x14ac:dyDescent="0.25">
      <c r="A25" s="7"/>
      <c r="B25" s="7"/>
      <c r="C25" s="7"/>
      <c r="D25" s="104"/>
      <c r="E25" s="242"/>
      <c r="F25" s="314"/>
      <c r="G25" s="7"/>
      <c r="H25" s="104"/>
      <c r="I25" s="302"/>
      <c r="J25" s="105"/>
      <c r="K25" s="105"/>
      <c r="L25" s="105"/>
      <c r="M25" s="239"/>
      <c r="N25" s="239"/>
      <c r="O25" s="104"/>
      <c r="P25" s="100"/>
      <c r="Q25" s="105"/>
      <c r="R25" s="105"/>
      <c r="S25" s="105"/>
      <c r="T25" s="87"/>
      <c r="U25" s="87"/>
      <c r="V25" s="99"/>
      <c r="W25" s="100"/>
      <c r="X25" s="105"/>
      <c r="Y25" s="105"/>
      <c r="Z25" s="105"/>
      <c r="AA25" s="87"/>
      <c r="AB25" s="103"/>
      <c r="AC25" s="87"/>
      <c r="AD25" s="87"/>
      <c r="AE25" s="87"/>
      <c r="AF25" s="13"/>
      <c r="AG25" s="233"/>
    </row>
    <row r="26" spans="1:34" ht="15.6" x14ac:dyDescent="0.25">
      <c r="A26" s="8" t="s">
        <v>96</v>
      </c>
      <c r="B26" s="8"/>
      <c r="C26" s="8"/>
      <c r="D26" s="81">
        <f>E26-I26</f>
        <v>490</v>
      </c>
      <c r="E26" s="243">
        <f>Reserves!E8</f>
        <v>1000</v>
      </c>
      <c r="F26" s="303"/>
      <c r="G26" s="8"/>
      <c r="H26" s="81">
        <f>I26-P26</f>
        <v>330</v>
      </c>
      <c r="I26" s="276">
        <v>510</v>
      </c>
      <c r="J26" s="83">
        <f>I26/12*Summary!$H$30</f>
        <v>425</v>
      </c>
      <c r="K26" s="371">
        <f>J26</f>
        <v>425</v>
      </c>
      <c r="L26" s="83">
        <f>J26-K26</f>
        <v>0</v>
      </c>
      <c r="M26" s="240"/>
      <c r="N26" s="240"/>
      <c r="O26" s="81">
        <f>P26-W26</f>
        <v>-420</v>
      </c>
      <c r="P26" s="82">
        <v>180</v>
      </c>
      <c r="Q26" s="83">
        <f>P26</f>
        <v>180</v>
      </c>
      <c r="R26" s="348">
        <v>1200</v>
      </c>
      <c r="S26" s="83">
        <f>Q26-R26</f>
        <v>-1020</v>
      </c>
      <c r="T26" s="79"/>
      <c r="U26" s="79"/>
      <c r="V26" s="77">
        <f t="shared" ref="V26" si="17">W26-AB26</f>
        <v>0</v>
      </c>
      <c r="W26" s="82">
        <v>600</v>
      </c>
      <c r="X26" s="83">
        <f>W26/12*10</f>
        <v>500</v>
      </c>
      <c r="Y26" s="83">
        <v>0</v>
      </c>
      <c r="Z26" s="83">
        <f>X26-Y26</f>
        <v>500</v>
      </c>
      <c r="AA26" s="79"/>
      <c r="AB26" s="78">
        <v>600</v>
      </c>
      <c r="AC26" s="83">
        <f>AB26/12*10</f>
        <v>500</v>
      </c>
      <c r="AD26" s="79">
        <v>900</v>
      </c>
      <c r="AE26" s="79">
        <f>AC26-AD26</f>
        <v>-400</v>
      </c>
      <c r="AF26" s="14"/>
      <c r="AG26" s="9" t="s">
        <v>228</v>
      </c>
    </row>
    <row r="27" spans="1:34" x14ac:dyDescent="0.25">
      <c r="A27" s="8"/>
      <c r="B27" s="8"/>
      <c r="C27" s="8"/>
      <c r="D27" s="81"/>
      <c r="E27" s="243"/>
      <c r="F27" s="303"/>
      <c r="G27" s="8"/>
      <c r="H27" s="81"/>
      <c r="I27" s="276"/>
      <c r="J27" s="83"/>
      <c r="K27" s="83"/>
      <c r="L27" s="83"/>
      <c r="M27" s="240"/>
      <c r="N27" s="240"/>
      <c r="O27" s="81"/>
      <c r="P27" s="82"/>
      <c r="Q27" s="83"/>
      <c r="R27" s="83" t="s">
        <v>237</v>
      </c>
      <c r="S27" s="83"/>
      <c r="T27" s="79"/>
      <c r="U27" s="79"/>
      <c r="V27" s="81"/>
      <c r="W27" s="82"/>
      <c r="X27" s="83"/>
      <c r="Y27" s="83"/>
      <c r="Z27" s="83"/>
      <c r="AA27" s="79"/>
      <c r="AB27" s="78"/>
      <c r="AC27" s="79"/>
      <c r="AD27" s="79"/>
      <c r="AE27" s="79"/>
      <c r="AF27" s="14"/>
    </row>
    <row r="28" spans="1:34" ht="15" thickBot="1" x14ac:dyDescent="0.35">
      <c r="A28" s="135" t="s">
        <v>1</v>
      </c>
      <c r="B28" s="147"/>
      <c r="C28" s="147"/>
      <c r="D28" s="85">
        <f>SUM(D24:D26)</f>
        <v>1001</v>
      </c>
      <c r="E28" s="86">
        <f>SUM(E24:E26)</f>
        <v>2894</v>
      </c>
      <c r="F28" s="304"/>
      <c r="G28" s="147"/>
      <c r="H28" s="85">
        <f>SUM(H24:H26)</f>
        <v>210.60825396825393</v>
      </c>
      <c r="I28" s="331">
        <f>SUM(I24:I26)</f>
        <v>1893</v>
      </c>
      <c r="J28" s="106">
        <f>SUM(J24:J26)</f>
        <v>1577.5</v>
      </c>
      <c r="K28" s="106">
        <f>SUM(K24:K26)</f>
        <v>1407</v>
      </c>
      <c r="L28" s="106">
        <f>SUM(L24:L26)</f>
        <v>170.50000000000006</v>
      </c>
      <c r="M28" s="100"/>
      <c r="N28" s="100"/>
      <c r="O28" s="85">
        <f>SUM(O24:O26)</f>
        <v>-7.608253968253905</v>
      </c>
      <c r="P28" s="86">
        <f>SUM(P24:P26)</f>
        <v>1682.3917460317462</v>
      </c>
      <c r="Q28" s="106">
        <f>SUM(Q24:Q26)</f>
        <v>1682.3917460317462</v>
      </c>
      <c r="R28" s="106">
        <f>SUM(R24:R26)</f>
        <v>2716</v>
      </c>
      <c r="S28" s="106">
        <f>SUM(S24:S26)</f>
        <v>-1033.6082539682538</v>
      </c>
      <c r="T28" s="79"/>
      <c r="U28" s="79"/>
      <c r="V28" s="85">
        <f>SUM(V24:V26)</f>
        <v>119</v>
      </c>
      <c r="W28" s="86">
        <f>SUM(W24:W26)</f>
        <v>1690</v>
      </c>
      <c r="X28" s="106">
        <f>SUM(X24:X26)</f>
        <v>1408.3333333333335</v>
      </c>
      <c r="Y28" s="106">
        <f>SUM(Y24:Y26)</f>
        <v>3201.26</v>
      </c>
      <c r="Z28" s="106">
        <f>SUM(Z24:Z26)</f>
        <v>-1792.9266666666667</v>
      </c>
      <c r="AA28" s="79"/>
      <c r="AB28" s="86">
        <f>SUM(AB24:AB26)</f>
        <v>1571</v>
      </c>
      <c r="AC28" s="106">
        <f>SUM(AC24:AC26)</f>
        <v>1309.1666666666667</v>
      </c>
      <c r="AD28" s="106">
        <f>SUM(AD24:AD26)</f>
        <v>1816.81</v>
      </c>
      <c r="AE28" s="106">
        <f>SUM(AE24:AE26)</f>
        <v>-507.64333333333326</v>
      </c>
      <c r="AF28" s="15"/>
      <c r="AG28" s="155">
        <f>SUM(B28:AF28)</f>
        <v>23008.175238095238</v>
      </c>
      <c r="AH28" s="156" t="s">
        <v>143</v>
      </c>
    </row>
    <row r="29" spans="1:34" x14ac:dyDescent="0.25">
      <c r="J29" s="233"/>
      <c r="K29" s="233"/>
      <c r="L29" s="233"/>
      <c r="O29" s="11"/>
      <c r="P29" s="11"/>
      <c r="S29" s="11"/>
      <c r="T29" s="11"/>
      <c r="U29" s="11"/>
      <c r="V29" s="11"/>
      <c r="X29" s="11"/>
      <c r="Z29" s="11"/>
      <c r="AA29" s="11"/>
      <c r="AB29" s="11"/>
      <c r="AC29" s="11"/>
      <c r="AD29" s="11"/>
      <c r="AE29" s="11"/>
      <c r="AF29" s="11"/>
    </row>
    <row r="30" spans="1:34" x14ac:dyDescent="0.25">
      <c r="A30" s="233" t="str">
        <f>"* "&amp;Summary!$A$26</f>
        <v>* Inflation Factor, CPI to 16th September, 2020</v>
      </c>
      <c r="E30" s="353">
        <f>Summary!$E$26</f>
        <v>5.0000000000000001E-3</v>
      </c>
      <c r="H30" s="436" t="str">
        <f>Summary!$H$26</f>
        <v>October, 2019</v>
      </c>
      <c r="I30" s="353">
        <f>Summary!$I$26</f>
        <v>1.7000000000000001E-2</v>
      </c>
      <c r="J30" s="311"/>
      <c r="K30" s="311"/>
      <c r="L30" s="311"/>
      <c r="O30" s="436" t="str">
        <f>Summary!$O$26</f>
        <v>October, 2018</v>
      </c>
      <c r="P30" s="353">
        <f>Summary!$P$26</f>
        <v>2.4E-2</v>
      </c>
    </row>
    <row r="31" spans="1:3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3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30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4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8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8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8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8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8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5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 s="354"/>
      <c r="N53" s="354"/>
      <c r="O53" s="354"/>
    </row>
    <row r="54" spans="1:15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 s="354"/>
      <c r="N54" s="354"/>
      <c r="O54" s="354"/>
    </row>
    <row r="55" spans="1:15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 s="354"/>
      <c r="N55" s="354"/>
      <c r="O55" s="354"/>
    </row>
  </sheetData>
  <mergeCells count="17">
    <mergeCell ref="D4:D5"/>
    <mergeCell ref="E4:E5"/>
    <mergeCell ref="I4:J4"/>
    <mergeCell ref="H4:H5"/>
    <mergeCell ref="D3:E3"/>
    <mergeCell ref="H3:L3"/>
    <mergeCell ref="AB3:AE3"/>
    <mergeCell ref="O4:O5"/>
    <mergeCell ref="X5:Z5"/>
    <mergeCell ref="W4:X4"/>
    <mergeCell ref="V3:Z3"/>
    <mergeCell ref="P4:Q4"/>
    <mergeCell ref="Q5:S5"/>
    <mergeCell ref="O3:S3"/>
    <mergeCell ref="AB4:AC4"/>
    <mergeCell ref="AC5:AE5"/>
    <mergeCell ref="V4:V5"/>
  </mergeCells>
  <phoneticPr fontId="19" type="noConversion"/>
  <pageMargins left="0.74803149606299213" right="0.74803149606299213" top="0.98425196850393704" bottom="0.98425196850393704" header="0.51181102362204722" footer="0.51181102362204722"/>
  <pageSetup paperSize="8" scale="58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49"/>
  <sheetViews>
    <sheetView showGridLines="0" zoomScale="80" zoomScaleNormal="80" workbookViewId="0">
      <pane ySplit="5" topLeftCell="A24" activePane="bottomLeft" state="frozen"/>
      <selection activeCell="H32" sqref="H32:I32"/>
      <selection pane="bottomLeft" activeCell="O49" sqref="O49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44140625" style="30" customWidth="1"/>
    <col min="21" max="21" width="1.6640625" style="30" customWidth="1"/>
    <col min="22" max="25" width="11.6640625" style="30" customWidth="1"/>
    <col min="26" max="26" width="11.6640625" style="73" customWidth="1"/>
    <col min="27" max="27" width="2.6640625" style="30" customWidth="1"/>
    <col min="28" max="31" width="11.6640625" style="30" customWidth="1"/>
    <col min="32" max="32" width="2.6640625" style="30" customWidth="1"/>
    <col min="33" max="33" width="9.109375" style="73"/>
    <col min="34" max="16384" width="9.109375" style="30"/>
  </cols>
  <sheetData>
    <row r="1" spans="1:34" s="45" customFormat="1" ht="21" x14ac:dyDescent="0.35">
      <c r="A1" s="20" t="s">
        <v>175</v>
      </c>
      <c r="B1" s="25"/>
      <c r="C1" s="25"/>
      <c r="D1" s="20" t="s">
        <v>172</v>
      </c>
      <c r="E1" s="16"/>
      <c r="F1" s="426"/>
      <c r="H1" s="181">
        <v>6</v>
      </c>
      <c r="I1" s="320"/>
      <c r="J1" s="320"/>
      <c r="K1" s="320"/>
      <c r="L1" s="320"/>
      <c r="M1" s="247"/>
      <c r="N1" s="247"/>
      <c r="O1" s="247"/>
      <c r="P1" s="247"/>
      <c r="Q1" s="247"/>
      <c r="R1" s="26"/>
      <c r="S1" s="26"/>
      <c r="T1" s="26"/>
      <c r="U1" s="26"/>
      <c r="V1" s="26"/>
      <c r="Z1" s="16"/>
      <c r="AA1" s="16"/>
      <c r="AB1" s="16"/>
      <c r="AC1" s="16"/>
      <c r="AD1" s="16"/>
      <c r="AE1" s="16"/>
      <c r="AF1" s="16"/>
      <c r="AG1" s="16"/>
    </row>
    <row r="2" spans="1:34" x14ac:dyDescent="0.3">
      <c r="H2" s="2"/>
      <c r="I2" s="298"/>
      <c r="J2" s="298"/>
      <c r="K2" s="298"/>
      <c r="L2" s="298"/>
      <c r="M2" s="250"/>
      <c r="N2" s="250"/>
      <c r="O2" s="250"/>
      <c r="P2" s="250"/>
      <c r="Q2" s="250"/>
      <c r="R2" s="2"/>
      <c r="S2" s="2"/>
      <c r="T2" s="2"/>
      <c r="U2" s="2"/>
      <c r="V2" s="2"/>
      <c r="W2" s="1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20"/>
      <c r="C3" s="20"/>
      <c r="D3" s="551">
        <v>2021</v>
      </c>
      <c r="E3" s="544"/>
      <c r="F3" s="412"/>
      <c r="G3" s="20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3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12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12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9"/>
    </row>
    <row r="7" spans="1:34" x14ac:dyDescent="0.3">
      <c r="A7" s="47" t="s">
        <v>20</v>
      </c>
      <c r="B7" s="47"/>
      <c r="C7" s="47"/>
      <c r="D7" s="47"/>
      <c r="G7" s="47"/>
      <c r="K7" s="30"/>
      <c r="O7" s="112"/>
      <c r="P7" s="113"/>
      <c r="S7" s="114"/>
      <c r="T7" s="114"/>
      <c r="U7" s="114"/>
      <c r="V7" s="112"/>
      <c r="W7" s="113"/>
      <c r="X7" s="114"/>
      <c r="Y7" s="114"/>
      <c r="Z7" s="115"/>
      <c r="AA7" s="114"/>
      <c r="AB7" s="113"/>
      <c r="AC7" s="114"/>
      <c r="AD7" s="114"/>
      <c r="AE7" s="114"/>
    </row>
    <row r="8" spans="1:34" x14ac:dyDescent="0.3">
      <c r="A8" s="48" t="s">
        <v>21</v>
      </c>
      <c r="D8" s="81">
        <f>E8-I8</f>
        <v>0</v>
      </c>
      <c r="E8" s="258">
        <v>1088</v>
      </c>
      <c r="F8" s="315"/>
      <c r="G8" s="48"/>
      <c r="H8" s="81">
        <f>I8-P8</f>
        <v>188</v>
      </c>
      <c r="I8" s="315">
        <v>1088</v>
      </c>
      <c r="J8" s="83">
        <f>I8/12*Summary!$H$30</f>
        <v>906.66666666666674</v>
      </c>
      <c r="K8" s="268">
        <v>725</v>
      </c>
      <c r="L8" s="83">
        <f>J8-K8</f>
        <v>181.66666666666674</v>
      </c>
      <c r="O8" s="81">
        <f>P8-W8</f>
        <v>50</v>
      </c>
      <c r="P8" s="113">
        <v>900</v>
      </c>
      <c r="Q8" s="83">
        <f>P8</f>
        <v>900</v>
      </c>
      <c r="R8" s="348">
        <v>1061</v>
      </c>
      <c r="S8" s="83">
        <f>Q8-R8</f>
        <v>-161</v>
      </c>
      <c r="T8" s="114"/>
      <c r="U8" s="114"/>
      <c r="V8" s="77">
        <f>W8-AB8</f>
        <v>25</v>
      </c>
      <c r="W8" s="113">
        <v>850</v>
      </c>
      <c r="X8" s="83">
        <f>W8/12*10</f>
        <v>708.33333333333326</v>
      </c>
      <c r="Y8" s="83">
        <v>576</v>
      </c>
      <c r="Z8" s="83">
        <f>X8-Y8</f>
        <v>132.33333333333326</v>
      </c>
      <c r="AA8" s="114"/>
      <c r="AB8" s="113">
        <v>825</v>
      </c>
      <c r="AC8" s="114">
        <f>SUM(AB8/12*10)</f>
        <v>687.5</v>
      </c>
      <c r="AD8" s="114">
        <v>646.87</v>
      </c>
      <c r="AE8" s="114">
        <f>AC8-AD8</f>
        <v>40.629999999999995</v>
      </c>
      <c r="AG8" s="116"/>
    </row>
    <row r="9" spans="1:34" x14ac:dyDescent="0.3">
      <c r="A9" s="48" t="s">
        <v>14</v>
      </c>
      <c r="B9" s="80" t="s">
        <v>228</v>
      </c>
      <c r="C9" s="80"/>
      <c r="D9" s="81">
        <f>E9-I9</f>
        <v>0</v>
      </c>
      <c r="E9" s="346">
        <v>120</v>
      </c>
      <c r="F9" s="393"/>
      <c r="G9" s="48"/>
      <c r="H9" s="81">
        <f>I9-P9</f>
        <v>-2.8799999999999955</v>
      </c>
      <c r="I9" s="303">
        <v>120</v>
      </c>
      <c r="J9" s="83">
        <f>I9/12*Summary!$H$30</f>
        <v>100</v>
      </c>
      <c r="K9" s="268">
        <v>40</v>
      </c>
      <c r="L9" s="83">
        <f t="shared" ref="L9:L11" si="0">J9-K9</f>
        <v>60</v>
      </c>
      <c r="M9" s="243"/>
      <c r="N9" s="243"/>
      <c r="O9" s="81">
        <f>P9-W9</f>
        <v>2.8799999999999955</v>
      </c>
      <c r="P9" s="82">
        <f>W9+(W9*$P$32)</f>
        <v>122.88</v>
      </c>
      <c r="Q9" s="83">
        <f t="shared" ref="Q9:Q11" si="1">P9</f>
        <v>122.88</v>
      </c>
      <c r="R9" s="348">
        <v>120</v>
      </c>
      <c r="S9" s="83">
        <f t="shared" ref="S9:S11" si="2">Q9-R9</f>
        <v>2.8799999999999955</v>
      </c>
      <c r="T9" s="114"/>
      <c r="U9" s="114"/>
      <c r="V9" s="77">
        <f>W9-AB9</f>
        <v>0</v>
      </c>
      <c r="W9" s="113">
        <v>120</v>
      </c>
      <c r="X9" s="83">
        <f t="shared" ref="X9:X11" si="3">W9/12*10</f>
        <v>100</v>
      </c>
      <c r="Y9" s="83">
        <v>115</v>
      </c>
      <c r="Z9" s="83">
        <f t="shared" ref="Z9:Z11" si="4">X9-Y9</f>
        <v>-15</v>
      </c>
      <c r="AA9" s="114"/>
      <c r="AB9" s="113">
        <v>120</v>
      </c>
      <c r="AC9" s="114">
        <f t="shared" ref="AC9:AC10" si="5">SUM(AB9/12*10)</f>
        <v>100</v>
      </c>
      <c r="AD9" s="114">
        <v>100</v>
      </c>
      <c r="AE9" s="114">
        <f t="shared" ref="AE9:AE10" si="6">AC9-AD9</f>
        <v>0</v>
      </c>
      <c r="AG9" s="116"/>
      <c r="AH9" s="17"/>
    </row>
    <row r="10" spans="1:34" x14ac:dyDescent="0.3">
      <c r="A10" s="48" t="s">
        <v>15</v>
      </c>
      <c r="B10" s="80" t="s">
        <v>228</v>
      </c>
      <c r="C10" s="80"/>
      <c r="D10" s="81">
        <f>E10-I10</f>
        <v>0</v>
      </c>
      <c r="E10" s="346">
        <v>300</v>
      </c>
      <c r="F10" s="393"/>
      <c r="G10" s="48"/>
      <c r="H10" s="81">
        <f>I10-P10</f>
        <v>-212</v>
      </c>
      <c r="I10" s="303">
        <v>300</v>
      </c>
      <c r="J10" s="83">
        <f>I10/12*Summary!$H$30</f>
        <v>250</v>
      </c>
      <c r="K10" s="268">
        <v>250</v>
      </c>
      <c r="L10" s="83">
        <f t="shared" si="0"/>
        <v>0</v>
      </c>
      <c r="M10" s="243"/>
      <c r="N10" s="243"/>
      <c r="O10" s="81">
        <f>P10-W10</f>
        <v>-88</v>
      </c>
      <c r="P10" s="82">
        <f>500+(500*$P$32)</f>
        <v>512</v>
      </c>
      <c r="Q10" s="83">
        <f t="shared" si="1"/>
        <v>512</v>
      </c>
      <c r="R10" s="348">
        <v>251</v>
      </c>
      <c r="S10" s="83">
        <f t="shared" si="2"/>
        <v>261</v>
      </c>
      <c r="T10" s="114"/>
      <c r="U10" s="114"/>
      <c r="V10" s="77">
        <f>W10-AB10</f>
        <v>-200</v>
      </c>
      <c r="W10" s="113">
        <v>600</v>
      </c>
      <c r="X10" s="83">
        <f t="shared" si="3"/>
        <v>500</v>
      </c>
      <c r="Y10" s="83">
        <v>360.87</v>
      </c>
      <c r="Z10" s="83">
        <f t="shared" si="4"/>
        <v>139.13</v>
      </c>
      <c r="AA10" s="114"/>
      <c r="AB10" s="113">
        <v>800</v>
      </c>
      <c r="AC10" s="114">
        <f t="shared" si="5"/>
        <v>666.66666666666674</v>
      </c>
      <c r="AD10" s="114">
        <v>164.94</v>
      </c>
      <c r="AE10" s="114">
        <f t="shared" si="6"/>
        <v>501.72666666666674</v>
      </c>
      <c r="AG10" s="178"/>
    </row>
    <row r="11" spans="1:34" x14ac:dyDescent="0.3">
      <c r="A11" s="48" t="s">
        <v>127</v>
      </c>
      <c r="D11" s="81">
        <f>E11-I11</f>
        <v>0</v>
      </c>
      <c r="E11" s="258">
        <v>210</v>
      </c>
      <c r="F11" s="315"/>
      <c r="G11" s="48"/>
      <c r="H11" s="81">
        <f>I11-P11</f>
        <v>0</v>
      </c>
      <c r="I11" s="315">
        <v>210</v>
      </c>
      <c r="J11" s="83">
        <f>I11/12*Summary!$H$30</f>
        <v>175</v>
      </c>
      <c r="K11" s="270">
        <v>210</v>
      </c>
      <c r="L11" s="83">
        <f t="shared" si="0"/>
        <v>-35</v>
      </c>
      <c r="O11" s="81">
        <f>P11-W11</f>
        <v>210</v>
      </c>
      <c r="P11" s="113">
        <f>175*1.2</f>
        <v>210</v>
      </c>
      <c r="Q11" s="83">
        <f t="shared" si="1"/>
        <v>210</v>
      </c>
      <c r="R11" s="357">
        <v>210</v>
      </c>
      <c r="S11" s="83">
        <f t="shared" si="2"/>
        <v>0</v>
      </c>
      <c r="T11" s="114"/>
      <c r="U11" s="114"/>
      <c r="V11" s="77">
        <f>W11-AB11</f>
        <v>0</v>
      </c>
      <c r="W11" s="113">
        <v>0</v>
      </c>
      <c r="X11" s="83">
        <f t="shared" si="3"/>
        <v>0</v>
      </c>
      <c r="Y11" s="114">
        <v>0</v>
      </c>
      <c r="Z11" s="83">
        <f t="shared" si="4"/>
        <v>0</v>
      </c>
      <c r="AA11" s="114"/>
      <c r="AB11" s="113">
        <v>0</v>
      </c>
      <c r="AC11" s="114">
        <f t="shared" ref="AC11" si="7">SUM(AB11/12*10)</f>
        <v>0</v>
      </c>
      <c r="AD11" s="114">
        <v>0</v>
      </c>
      <c r="AE11" s="114">
        <f t="shared" ref="AE11" si="8">AC11-AD11</f>
        <v>0</v>
      </c>
      <c r="AG11" s="116"/>
    </row>
    <row r="12" spans="1:34" x14ac:dyDescent="0.3">
      <c r="A12" s="48"/>
      <c r="D12" s="81"/>
      <c r="E12" s="32"/>
      <c r="F12" s="315"/>
      <c r="G12" s="48"/>
      <c r="H12" s="81"/>
      <c r="J12" s="114"/>
      <c r="K12" s="114"/>
      <c r="L12" s="114"/>
      <c r="O12" s="81"/>
      <c r="P12" s="113"/>
      <c r="Q12" s="114"/>
      <c r="R12" s="357"/>
      <c r="S12" s="115"/>
      <c r="T12" s="114"/>
      <c r="U12" s="114"/>
      <c r="V12" s="112"/>
      <c r="W12" s="113"/>
      <c r="X12" s="114"/>
      <c r="Y12" s="114"/>
      <c r="Z12" s="115"/>
      <c r="AA12" s="114"/>
      <c r="AB12" s="113"/>
      <c r="AC12" s="114"/>
      <c r="AD12" s="114"/>
      <c r="AE12" s="114"/>
      <c r="AG12" s="116"/>
    </row>
    <row r="13" spans="1:34" s="129" customFormat="1" ht="15" thickBot="1" x14ac:dyDescent="0.35">
      <c r="A13" s="135" t="s">
        <v>139</v>
      </c>
      <c r="D13" s="136">
        <f>SUM(D7:D12)</f>
        <v>0</v>
      </c>
      <c r="E13" s="137">
        <f>SUM(E7:E12)</f>
        <v>1718</v>
      </c>
      <c r="F13" s="421"/>
      <c r="G13" s="147"/>
      <c r="H13" s="136">
        <f>SUM(H7:H12)</f>
        <v>-26.879999999999995</v>
      </c>
      <c r="I13" s="334">
        <f>SUM(I7:I12)</f>
        <v>1718</v>
      </c>
      <c r="J13" s="135">
        <f t="shared" ref="J13:L13" si="9">SUM(J7:J12)</f>
        <v>1431.6666666666667</v>
      </c>
      <c r="K13" s="135">
        <f t="shared" si="9"/>
        <v>1225</v>
      </c>
      <c r="L13" s="135">
        <f t="shared" si="9"/>
        <v>206.66666666666674</v>
      </c>
      <c r="M13" s="252"/>
      <c r="N13" s="252"/>
      <c r="O13" s="136">
        <f>SUM(O7:O12)</f>
        <v>174.88</v>
      </c>
      <c r="P13" s="137">
        <f>SUM(P7:P12)</f>
        <v>1744.88</v>
      </c>
      <c r="Q13" s="135">
        <f t="shared" ref="Q13:S13" si="10">SUM(Q7:Q12)</f>
        <v>1744.88</v>
      </c>
      <c r="R13" s="358">
        <f t="shared" si="10"/>
        <v>1642</v>
      </c>
      <c r="S13" s="139">
        <f t="shared" si="10"/>
        <v>102.88</v>
      </c>
      <c r="T13" s="135"/>
      <c r="U13" s="135"/>
      <c r="V13" s="136">
        <f t="shared" ref="V13:Z13" si="11">SUM(V7:V12)</f>
        <v>-175</v>
      </c>
      <c r="W13" s="137">
        <f t="shared" si="11"/>
        <v>1570</v>
      </c>
      <c r="X13" s="135">
        <f t="shared" si="11"/>
        <v>1308.3333333333333</v>
      </c>
      <c r="Y13" s="135">
        <f t="shared" si="11"/>
        <v>1051.8699999999999</v>
      </c>
      <c r="Z13" s="139">
        <f t="shared" si="11"/>
        <v>256.46333333333325</v>
      </c>
      <c r="AA13" s="138"/>
      <c r="AB13" s="137">
        <f t="shared" ref="AB13:AE13" si="12">SUM(AB7:AB12)</f>
        <v>1745</v>
      </c>
      <c r="AC13" s="135">
        <f t="shared" si="12"/>
        <v>1454.1666666666667</v>
      </c>
      <c r="AD13" s="135">
        <f t="shared" si="12"/>
        <v>911.81</v>
      </c>
      <c r="AE13" s="135">
        <f t="shared" si="12"/>
        <v>542.3566666666668</v>
      </c>
      <c r="AG13" s="140"/>
    </row>
    <row r="14" spans="1:34" x14ac:dyDescent="0.3">
      <c r="A14" s="76"/>
      <c r="D14" s="112"/>
      <c r="E14" s="32"/>
      <c r="F14" s="315"/>
      <c r="G14" s="76"/>
      <c r="H14" s="120"/>
      <c r="J14" s="114"/>
      <c r="K14" s="114"/>
      <c r="L14" s="114"/>
      <c r="O14" s="120"/>
      <c r="P14" s="121"/>
      <c r="Q14" s="122"/>
      <c r="R14" s="359"/>
      <c r="S14" s="123"/>
      <c r="T14" s="122"/>
      <c r="U14" s="122"/>
      <c r="V14" s="120"/>
      <c r="W14" s="121"/>
      <c r="X14" s="122"/>
      <c r="Y14" s="122"/>
      <c r="Z14" s="123"/>
      <c r="AA14" s="114"/>
      <c r="AB14" s="121"/>
      <c r="AC14" s="122"/>
      <c r="AD14" s="122"/>
      <c r="AE14" s="122"/>
      <c r="AG14" s="116"/>
    </row>
    <row r="15" spans="1:34" x14ac:dyDescent="0.3">
      <c r="A15" s="47" t="s">
        <v>0</v>
      </c>
      <c r="D15" s="112"/>
      <c r="E15" s="32"/>
      <c r="F15" s="315"/>
      <c r="G15" s="47"/>
      <c r="H15" s="112"/>
      <c r="J15" s="114"/>
      <c r="K15" s="114"/>
      <c r="L15" s="114"/>
      <c r="O15" s="112"/>
      <c r="P15" s="113"/>
      <c r="Q15" s="114"/>
      <c r="R15" s="357"/>
      <c r="S15" s="115"/>
      <c r="T15" s="114"/>
      <c r="U15" s="114"/>
      <c r="V15" s="112"/>
      <c r="W15" s="113"/>
      <c r="X15" s="114"/>
      <c r="Y15" s="114"/>
      <c r="Z15" s="115"/>
      <c r="AA15" s="114"/>
      <c r="AB15" s="113"/>
      <c r="AC15" s="114"/>
      <c r="AD15" s="114"/>
      <c r="AE15" s="114"/>
      <c r="AG15" s="116"/>
    </row>
    <row r="16" spans="1:34" x14ac:dyDescent="0.3">
      <c r="A16" s="48" t="s">
        <v>11</v>
      </c>
      <c r="B16" s="80"/>
      <c r="C16" s="80"/>
      <c r="D16" s="81">
        <f t="shared" ref="D16:D20" si="13">E16-I16</f>
        <v>0</v>
      </c>
      <c r="E16" s="346">
        <v>410</v>
      </c>
      <c r="F16" s="393"/>
      <c r="G16" s="48"/>
      <c r="H16" s="81">
        <f>I16-P16</f>
        <v>0.39999999999997726</v>
      </c>
      <c r="I16" s="303">
        <v>410</v>
      </c>
      <c r="J16" s="83">
        <f>I16/12*Summary!$H$30</f>
        <v>341.66666666666663</v>
      </c>
      <c r="K16" s="268">
        <v>2419</v>
      </c>
      <c r="L16" s="83">
        <f t="shared" ref="L16:L20" si="14">J16-K16</f>
        <v>-2077.3333333333335</v>
      </c>
      <c r="M16" s="243"/>
      <c r="N16" s="243"/>
      <c r="O16" s="81">
        <f t="shared" ref="O16:O20" si="15">P16-W16</f>
        <v>9.6000000000000227</v>
      </c>
      <c r="P16" s="82">
        <f t="shared" ref="P16:P19" si="16">W16+(W16*$P$32)</f>
        <v>409.6</v>
      </c>
      <c r="Q16" s="83">
        <f t="shared" ref="Q16:Q20" si="17">P16</f>
        <v>409.6</v>
      </c>
      <c r="R16" s="348">
        <v>432</v>
      </c>
      <c r="S16" s="83">
        <f t="shared" ref="S16:S20" si="18">Q16-R16</f>
        <v>-22.399999999999977</v>
      </c>
      <c r="T16" s="114"/>
      <c r="U16" s="114"/>
      <c r="V16" s="77">
        <f t="shared" ref="V16:V20" si="19">W16-AB16</f>
        <v>0</v>
      </c>
      <c r="W16" s="113">
        <v>400</v>
      </c>
      <c r="X16" s="83">
        <f t="shared" ref="X16:X20" si="20">W16/12*10</f>
        <v>333.33333333333337</v>
      </c>
      <c r="Y16" s="83">
        <v>180.11</v>
      </c>
      <c r="Z16" s="83">
        <f t="shared" ref="Z16:Z20" si="21">X16-Y16</f>
        <v>153.22333333333336</v>
      </c>
      <c r="AA16" s="114"/>
      <c r="AB16" s="113">
        <v>400</v>
      </c>
      <c r="AC16" s="114">
        <f t="shared" ref="AC16:AC20" si="22">SUM(AB16/12*10)</f>
        <v>333.33333333333337</v>
      </c>
      <c r="AD16" s="114">
        <v>302.83999999999997</v>
      </c>
      <c r="AE16" s="114">
        <f t="shared" ref="AE16:AE20" si="23">AC16-AD16</f>
        <v>30.493333333333396</v>
      </c>
      <c r="AG16" s="116"/>
    </row>
    <row r="17" spans="1:34" x14ac:dyDescent="0.3">
      <c r="A17" s="48" t="s">
        <v>16</v>
      </c>
      <c r="B17" s="80"/>
      <c r="C17" s="80"/>
      <c r="D17" s="81">
        <f t="shared" si="13"/>
        <v>0</v>
      </c>
      <c r="E17" s="346">
        <v>50</v>
      </c>
      <c r="F17" s="393"/>
      <c r="G17" s="48"/>
      <c r="H17" s="81">
        <f>I17-P17</f>
        <v>-1.2000000000000028</v>
      </c>
      <c r="I17" s="303">
        <v>50</v>
      </c>
      <c r="J17" s="83">
        <f>I17/12*Summary!$H$30</f>
        <v>41.666666666666671</v>
      </c>
      <c r="K17" s="268">
        <v>0</v>
      </c>
      <c r="L17" s="83">
        <f t="shared" si="14"/>
        <v>41.666666666666671</v>
      </c>
      <c r="M17" s="243"/>
      <c r="N17" s="243"/>
      <c r="O17" s="81">
        <f t="shared" si="15"/>
        <v>1.2000000000000028</v>
      </c>
      <c r="P17" s="82">
        <f t="shared" si="16"/>
        <v>51.2</v>
      </c>
      <c r="Q17" s="83">
        <f t="shared" si="17"/>
        <v>51.2</v>
      </c>
      <c r="R17" s="348">
        <v>0</v>
      </c>
      <c r="S17" s="83">
        <f t="shared" si="18"/>
        <v>51.2</v>
      </c>
      <c r="T17" s="114"/>
      <c r="U17" s="114"/>
      <c r="V17" s="77">
        <f t="shared" si="19"/>
        <v>0</v>
      </c>
      <c r="W17" s="113">
        <v>50</v>
      </c>
      <c r="X17" s="83">
        <f t="shared" si="20"/>
        <v>41.666666666666671</v>
      </c>
      <c r="Y17" s="83">
        <v>0</v>
      </c>
      <c r="Z17" s="83">
        <f t="shared" si="21"/>
        <v>41.666666666666671</v>
      </c>
      <c r="AA17" s="114"/>
      <c r="AB17" s="113">
        <v>50</v>
      </c>
      <c r="AC17" s="114">
        <f t="shared" si="22"/>
        <v>41.666666666666671</v>
      </c>
      <c r="AD17" s="114">
        <v>0</v>
      </c>
      <c r="AE17" s="114">
        <f t="shared" si="23"/>
        <v>41.666666666666671</v>
      </c>
      <c r="AG17" s="116"/>
      <c r="AH17" s="46"/>
    </row>
    <row r="18" spans="1:34" x14ac:dyDescent="0.3">
      <c r="A18" s="48" t="s">
        <v>12</v>
      </c>
      <c r="B18" s="80"/>
      <c r="C18" s="80"/>
      <c r="D18" s="81">
        <f t="shared" si="13"/>
        <v>-50</v>
      </c>
      <c r="E18" s="346">
        <v>50</v>
      </c>
      <c r="F18" s="393"/>
      <c r="G18" s="48"/>
      <c r="H18" s="81">
        <f>I18-P18</f>
        <v>-2.4000000000000057</v>
      </c>
      <c r="I18" s="303">
        <v>100</v>
      </c>
      <c r="J18" s="83">
        <f>I18/12*Summary!$H$30</f>
        <v>83.333333333333343</v>
      </c>
      <c r="K18" s="268">
        <v>0</v>
      </c>
      <c r="L18" s="83">
        <f t="shared" si="14"/>
        <v>83.333333333333343</v>
      </c>
      <c r="M18" s="243"/>
      <c r="N18" s="243"/>
      <c r="O18" s="81">
        <f t="shared" si="15"/>
        <v>2.4000000000000057</v>
      </c>
      <c r="P18" s="82">
        <f t="shared" si="16"/>
        <v>102.4</v>
      </c>
      <c r="Q18" s="83">
        <f t="shared" si="17"/>
        <v>102.4</v>
      </c>
      <c r="R18" s="348">
        <v>89</v>
      </c>
      <c r="S18" s="83">
        <f t="shared" si="18"/>
        <v>13.400000000000006</v>
      </c>
      <c r="T18" s="114"/>
      <c r="U18" s="114"/>
      <c r="V18" s="77">
        <f t="shared" si="19"/>
        <v>47</v>
      </c>
      <c r="W18" s="113">
        <v>100</v>
      </c>
      <c r="X18" s="83">
        <f t="shared" si="20"/>
        <v>83.333333333333343</v>
      </c>
      <c r="Y18" s="83">
        <v>90</v>
      </c>
      <c r="Z18" s="83">
        <f t="shared" si="21"/>
        <v>-6.6666666666666572</v>
      </c>
      <c r="AA18" s="114"/>
      <c r="AB18" s="113">
        <v>53</v>
      </c>
      <c r="AC18" s="114">
        <f t="shared" si="22"/>
        <v>44.166666666666671</v>
      </c>
      <c r="AD18" s="114">
        <v>90</v>
      </c>
      <c r="AE18" s="114">
        <f t="shared" si="23"/>
        <v>-45.833333333333329</v>
      </c>
      <c r="AG18" s="116"/>
    </row>
    <row r="19" spans="1:34" x14ac:dyDescent="0.3">
      <c r="A19" s="48" t="s">
        <v>68</v>
      </c>
      <c r="B19" s="80"/>
      <c r="C19" s="80"/>
      <c r="D19" s="81">
        <f t="shared" si="13"/>
        <v>0</v>
      </c>
      <c r="E19" s="346">
        <v>51</v>
      </c>
      <c r="F19" s="393"/>
      <c r="G19" s="48"/>
      <c r="H19" s="81">
        <f>I19-P19</f>
        <v>-0.20000000000000284</v>
      </c>
      <c r="I19" s="303">
        <v>51</v>
      </c>
      <c r="J19" s="83">
        <f>I19/12*Summary!$H$30</f>
        <v>42.5</v>
      </c>
      <c r="K19" s="268">
        <v>17</v>
      </c>
      <c r="L19" s="83">
        <f t="shared" si="14"/>
        <v>25.5</v>
      </c>
      <c r="M19" s="243"/>
      <c r="N19" s="243"/>
      <c r="O19" s="81">
        <f t="shared" si="15"/>
        <v>1.2000000000000028</v>
      </c>
      <c r="P19" s="82">
        <f t="shared" si="16"/>
        <v>51.2</v>
      </c>
      <c r="Q19" s="83">
        <f t="shared" si="17"/>
        <v>51.2</v>
      </c>
      <c r="R19" s="348">
        <v>123</v>
      </c>
      <c r="S19" s="83">
        <f t="shared" si="18"/>
        <v>-71.8</v>
      </c>
      <c r="T19" s="114"/>
      <c r="U19" s="114"/>
      <c r="V19" s="77">
        <f t="shared" si="19"/>
        <v>0</v>
      </c>
      <c r="W19" s="113">
        <v>50</v>
      </c>
      <c r="X19" s="83">
        <f t="shared" si="20"/>
        <v>41.666666666666671</v>
      </c>
      <c r="Y19" s="83">
        <v>30</v>
      </c>
      <c r="Z19" s="83">
        <f t="shared" si="21"/>
        <v>11.666666666666671</v>
      </c>
      <c r="AA19" s="114"/>
      <c r="AB19" s="113">
        <v>50</v>
      </c>
      <c r="AC19" s="114">
        <f t="shared" si="22"/>
        <v>41.666666666666671</v>
      </c>
      <c r="AD19" s="114">
        <v>30</v>
      </c>
      <c r="AE19" s="114">
        <f t="shared" si="23"/>
        <v>11.666666666666671</v>
      </c>
      <c r="AG19" s="116"/>
    </row>
    <row r="20" spans="1:34" x14ac:dyDescent="0.3">
      <c r="A20" s="48" t="s">
        <v>126</v>
      </c>
      <c r="D20" s="81">
        <f t="shared" si="13"/>
        <v>0</v>
      </c>
      <c r="E20" s="258">
        <v>0</v>
      </c>
      <c r="F20" s="315"/>
      <c r="G20" s="48"/>
      <c r="H20" s="81">
        <f>I20-P20</f>
        <v>-42.920634920634924</v>
      </c>
      <c r="I20" s="315">
        <v>0</v>
      </c>
      <c r="J20" s="83">
        <f>I20/12*Summary!$H$30</f>
        <v>0</v>
      </c>
      <c r="K20" s="270"/>
      <c r="L20" s="83">
        <f t="shared" si="14"/>
        <v>0</v>
      </c>
      <c r="O20" s="81">
        <f t="shared" si="15"/>
        <v>42.920634920634924</v>
      </c>
      <c r="P20" s="113">
        <f>Reserves!X10</f>
        <v>42.920634920634924</v>
      </c>
      <c r="Q20" s="83">
        <f t="shared" si="17"/>
        <v>42.920634920634924</v>
      </c>
      <c r="R20" s="357">
        <v>92</v>
      </c>
      <c r="S20" s="83">
        <f t="shared" si="18"/>
        <v>-49.079365079365076</v>
      </c>
      <c r="T20" s="114"/>
      <c r="U20" s="114"/>
      <c r="V20" s="77">
        <f t="shared" si="19"/>
        <v>0</v>
      </c>
      <c r="W20" s="113">
        <v>0</v>
      </c>
      <c r="X20" s="83">
        <f t="shared" si="20"/>
        <v>0</v>
      </c>
      <c r="Y20" s="114">
        <v>0</v>
      </c>
      <c r="Z20" s="83">
        <f t="shared" si="21"/>
        <v>0</v>
      </c>
      <c r="AA20" s="114"/>
      <c r="AB20" s="113">
        <v>0</v>
      </c>
      <c r="AC20" s="114">
        <f t="shared" si="22"/>
        <v>0</v>
      </c>
      <c r="AD20" s="114">
        <v>0</v>
      </c>
      <c r="AE20" s="114">
        <f t="shared" si="23"/>
        <v>0</v>
      </c>
      <c r="AG20" s="116"/>
    </row>
    <row r="21" spans="1:34" x14ac:dyDescent="0.3">
      <c r="A21" s="48"/>
      <c r="D21" s="81"/>
      <c r="E21" s="32"/>
      <c r="F21" s="315"/>
      <c r="G21" s="48"/>
      <c r="H21" s="81"/>
      <c r="J21" s="114"/>
      <c r="K21" s="114"/>
      <c r="L21" s="114"/>
      <c r="O21" s="81"/>
      <c r="P21" s="113"/>
      <c r="Q21" s="114"/>
      <c r="R21" s="357"/>
      <c r="S21" s="115"/>
      <c r="T21" s="114"/>
      <c r="U21" s="114"/>
      <c r="V21" s="112"/>
      <c r="W21" s="113"/>
      <c r="X21" s="114"/>
      <c r="Y21" s="114"/>
      <c r="Z21" s="115"/>
      <c r="AA21" s="114"/>
      <c r="AB21" s="113"/>
      <c r="AC21" s="114"/>
      <c r="AD21" s="114"/>
      <c r="AE21" s="114"/>
      <c r="AG21" s="116"/>
    </row>
    <row r="22" spans="1:34" s="129" customFormat="1" ht="15" thickBot="1" x14ac:dyDescent="0.35">
      <c r="A22" s="135" t="s">
        <v>140</v>
      </c>
      <c r="D22" s="136">
        <f>SUM(D15:D21)</f>
        <v>-50</v>
      </c>
      <c r="E22" s="137">
        <f>SUM(E15:E21)</f>
        <v>561</v>
      </c>
      <c r="F22" s="421"/>
      <c r="G22" s="147"/>
      <c r="H22" s="136">
        <f>SUM(H15:H21)</f>
        <v>-46.320634920634959</v>
      </c>
      <c r="I22" s="334">
        <f>SUM(I15:I21)</f>
        <v>611</v>
      </c>
      <c r="J22" s="135">
        <f>SUM(J15:J21)</f>
        <v>509.16666666666663</v>
      </c>
      <c r="K22" s="135">
        <f>SUM(K15:K21)</f>
        <v>2436</v>
      </c>
      <c r="L22" s="135">
        <f>SUM(L15:L21)</f>
        <v>-1926.8333333333335</v>
      </c>
      <c r="M22" s="252"/>
      <c r="N22" s="252"/>
      <c r="O22" s="136">
        <f>SUM(O15:O21)</f>
        <v>57.320634920634959</v>
      </c>
      <c r="P22" s="137">
        <f>SUM(P15:P21)</f>
        <v>657.32063492063503</v>
      </c>
      <c r="Q22" s="135">
        <f>SUM(Q15:Q21)</f>
        <v>657.32063492063503</v>
      </c>
      <c r="R22" s="358">
        <f>SUM(R15:R21)</f>
        <v>736</v>
      </c>
      <c r="S22" s="139">
        <f>SUM(S15:S21)</f>
        <v>-78.679365079365041</v>
      </c>
      <c r="T22" s="138"/>
      <c r="U22" s="138"/>
      <c r="V22" s="136">
        <f>SUM(V15:V21)</f>
        <v>47</v>
      </c>
      <c r="W22" s="137">
        <f>SUM(W15:W21)</f>
        <v>600</v>
      </c>
      <c r="X22" s="135">
        <f>SUM(X15:X21)</f>
        <v>500.00000000000006</v>
      </c>
      <c r="Y22" s="135">
        <f>SUM(Y15:Y21)</f>
        <v>300.11</v>
      </c>
      <c r="Z22" s="139">
        <f>SUM(Z15:Z21)</f>
        <v>199.89000000000004</v>
      </c>
      <c r="AA22" s="138"/>
      <c r="AB22" s="137">
        <f>SUM(AB15:AB21)</f>
        <v>553</v>
      </c>
      <c r="AC22" s="135">
        <f>SUM(AC15:AC21)</f>
        <v>460.83333333333343</v>
      </c>
      <c r="AD22" s="135">
        <f>SUM(AD15:AD21)</f>
        <v>422.84</v>
      </c>
      <c r="AE22" s="135">
        <f>SUM(AE15:AE21)</f>
        <v>37.99333333333341</v>
      </c>
      <c r="AG22" s="140"/>
    </row>
    <row r="23" spans="1:34" x14ac:dyDescent="0.3">
      <c r="A23" s="33"/>
      <c r="B23" s="33"/>
      <c r="C23" s="33"/>
      <c r="D23" s="112"/>
      <c r="E23" s="32"/>
      <c r="F23" s="315"/>
      <c r="G23" s="33"/>
      <c r="H23" s="120"/>
      <c r="J23" s="114"/>
      <c r="K23" s="114"/>
      <c r="L23" s="114"/>
      <c r="O23" s="120"/>
      <c r="P23" s="121"/>
      <c r="Q23" s="122"/>
      <c r="R23" s="359"/>
      <c r="S23" s="123"/>
      <c r="T23" s="114"/>
      <c r="U23" s="114"/>
      <c r="V23" s="120"/>
      <c r="W23" s="121"/>
      <c r="X23" s="122"/>
      <c r="Y23" s="122"/>
      <c r="Z23" s="123"/>
      <c r="AA23" s="114"/>
      <c r="AB23" s="121"/>
      <c r="AC23" s="122"/>
      <c r="AD23" s="122"/>
      <c r="AE23" s="122"/>
      <c r="AG23" s="116"/>
    </row>
    <row r="24" spans="1:34" x14ac:dyDescent="0.3">
      <c r="A24" s="48" t="s">
        <v>88</v>
      </c>
      <c r="B24" s="48"/>
      <c r="C24" s="48"/>
      <c r="D24" s="81">
        <f>E24-I24</f>
        <v>0</v>
      </c>
      <c r="E24" s="259">
        <f>I24</f>
        <v>340</v>
      </c>
      <c r="F24" s="303"/>
      <c r="G24" s="48"/>
      <c r="H24" s="81">
        <f>I24-P24</f>
        <v>0</v>
      </c>
      <c r="I24" s="276">
        <f>P24</f>
        <v>340</v>
      </c>
      <c r="J24" s="83">
        <f>I24/12*Summary!$H$30</f>
        <v>283.33333333333331</v>
      </c>
      <c r="K24" s="268">
        <v>283</v>
      </c>
      <c r="L24" s="83">
        <f t="shared" ref="L24" si="24">J24-K24</f>
        <v>0.33333333333331439</v>
      </c>
      <c r="M24" s="240"/>
      <c r="N24" s="240"/>
      <c r="O24" s="81">
        <f>P24-W24</f>
        <v>0</v>
      </c>
      <c r="P24" s="113">
        <v>340</v>
      </c>
      <c r="Q24" s="83">
        <f>P24</f>
        <v>340</v>
      </c>
      <c r="R24" s="348">
        <v>340</v>
      </c>
      <c r="S24" s="83">
        <f t="shared" ref="S24" si="25">Q24-R24</f>
        <v>0</v>
      </c>
      <c r="T24" s="114"/>
      <c r="U24" s="114"/>
      <c r="V24" s="77">
        <f>W24-AB24</f>
        <v>0</v>
      </c>
      <c r="W24" s="113">
        <v>340</v>
      </c>
      <c r="X24" s="83">
        <f t="shared" ref="X24" si="26">W24/12*10</f>
        <v>283.33333333333331</v>
      </c>
      <c r="Y24" s="83">
        <v>0</v>
      </c>
      <c r="Z24" s="83">
        <f t="shared" ref="Z24" si="27">X24-Y24</f>
        <v>283.33333333333331</v>
      </c>
      <c r="AA24" s="114"/>
      <c r="AB24" s="113">
        <v>340</v>
      </c>
      <c r="AC24" s="114">
        <f t="shared" ref="AC24" si="28">SUM(AB24/12*10)</f>
        <v>283.33333333333331</v>
      </c>
      <c r="AD24" s="114">
        <v>0</v>
      </c>
      <c r="AE24" s="114">
        <f t="shared" ref="AE24" si="29">AC24-AD24</f>
        <v>283.33333333333331</v>
      </c>
      <c r="AG24" s="116"/>
    </row>
    <row r="25" spans="1:34" x14ac:dyDescent="0.3">
      <c r="A25" s="48"/>
      <c r="B25" s="48"/>
      <c r="C25" s="48"/>
      <c r="D25" s="112"/>
      <c r="E25" s="32"/>
      <c r="F25" s="315"/>
      <c r="G25" s="48"/>
      <c r="H25" s="112"/>
      <c r="J25" s="83"/>
      <c r="K25" s="83"/>
      <c r="L25" s="83"/>
      <c r="O25" s="112"/>
      <c r="P25" s="113"/>
      <c r="Q25" s="83"/>
      <c r="R25" s="348"/>
      <c r="S25" s="83"/>
      <c r="T25" s="114"/>
      <c r="U25" s="114"/>
      <c r="V25" s="77"/>
      <c r="W25" s="113"/>
      <c r="X25" s="83"/>
      <c r="Y25" s="83"/>
      <c r="Z25" s="83"/>
      <c r="AA25" s="114"/>
      <c r="AB25" s="113"/>
      <c r="AC25" s="114"/>
      <c r="AD25" s="114"/>
      <c r="AE25" s="114"/>
      <c r="AG25" s="116"/>
    </row>
    <row r="26" spans="1:34" s="129" customFormat="1" ht="15" thickBot="1" x14ac:dyDescent="0.35">
      <c r="A26" s="135" t="s">
        <v>138</v>
      </c>
      <c r="B26" s="147"/>
      <c r="C26" s="147"/>
      <c r="D26" s="136">
        <f>D13+D22+D24</f>
        <v>-50</v>
      </c>
      <c r="E26" s="137">
        <f>E13+E22+E24</f>
        <v>2619</v>
      </c>
      <c r="F26" s="421"/>
      <c r="G26" s="147"/>
      <c r="H26" s="136">
        <f>H13+H22+H24</f>
        <v>-73.200634920634954</v>
      </c>
      <c r="I26" s="334">
        <f>I13+I22+I24</f>
        <v>2669</v>
      </c>
      <c r="J26" s="135">
        <f>J13+J22+J24</f>
        <v>2224.166666666667</v>
      </c>
      <c r="K26" s="135">
        <f>K13+K22+K24</f>
        <v>3944</v>
      </c>
      <c r="L26" s="135">
        <f>L13+L22+L24</f>
        <v>-1719.8333333333335</v>
      </c>
      <c r="M26" s="252"/>
      <c r="N26" s="252"/>
      <c r="O26" s="136">
        <f>O13+O22+O24</f>
        <v>232.20063492063497</v>
      </c>
      <c r="P26" s="137">
        <f>P13+P22+P24</f>
        <v>2742.2006349206349</v>
      </c>
      <c r="Q26" s="135">
        <f>Q13+Q22+Q24</f>
        <v>2742.2006349206349</v>
      </c>
      <c r="R26" s="358">
        <f>R13+R22+R24</f>
        <v>2718</v>
      </c>
      <c r="S26" s="135">
        <f>S13+S22+S24</f>
        <v>24.200634920634954</v>
      </c>
      <c r="T26" s="138"/>
      <c r="U26" s="138"/>
      <c r="V26" s="136">
        <f>V13+V22+V24</f>
        <v>-128</v>
      </c>
      <c r="W26" s="137">
        <f>W13+W22+W24</f>
        <v>2510</v>
      </c>
      <c r="X26" s="135">
        <f>X13+X22+X24</f>
        <v>2091.6666666666665</v>
      </c>
      <c r="Y26" s="135">
        <f>Y13+Y22+Y24</f>
        <v>1351.98</v>
      </c>
      <c r="Z26" s="135">
        <f>Z13+Z22+Z24</f>
        <v>739.68666666666661</v>
      </c>
      <c r="AA26" s="138"/>
      <c r="AB26" s="137">
        <f>AB13+AB22+AB24</f>
        <v>2638</v>
      </c>
      <c r="AC26" s="135">
        <f>AC13+AC22+AC24</f>
        <v>2198.3333333333335</v>
      </c>
      <c r="AD26" s="135">
        <f>AD13+AD22+AD24</f>
        <v>1334.6499999999999</v>
      </c>
      <c r="AE26" s="135">
        <f>AE13+AE22+AE24</f>
        <v>863.68333333333362</v>
      </c>
      <c r="AG26" s="140"/>
    </row>
    <row r="27" spans="1:34" x14ac:dyDescent="0.3">
      <c r="A27" s="33"/>
      <c r="B27" s="33"/>
      <c r="C27" s="33"/>
      <c r="D27" s="112"/>
      <c r="E27" s="32"/>
      <c r="F27" s="315"/>
      <c r="G27" s="33"/>
      <c r="H27" s="112"/>
      <c r="J27" s="114"/>
      <c r="K27" s="114"/>
      <c r="L27" s="114"/>
      <c r="O27" s="112"/>
      <c r="P27" s="121"/>
      <c r="Q27" s="114"/>
      <c r="R27" s="357"/>
      <c r="S27" s="115"/>
      <c r="T27" s="114"/>
      <c r="U27" s="114"/>
      <c r="V27" s="112"/>
      <c r="W27" s="121"/>
      <c r="X27" s="114"/>
      <c r="Y27" s="114"/>
      <c r="Z27" s="115"/>
      <c r="AA27" s="114"/>
      <c r="AB27" s="121"/>
      <c r="AC27" s="122"/>
      <c r="AD27" s="122"/>
      <c r="AE27" s="114"/>
      <c r="AG27" s="116"/>
    </row>
    <row r="28" spans="1:34" ht="15.6" x14ac:dyDescent="0.3">
      <c r="A28" s="33" t="s">
        <v>95</v>
      </c>
      <c r="B28" s="33"/>
      <c r="C28" s="33"/>
      <c r="D28" s="81">
        <f>E28-I28</f>
        <v>555</v>
      </c>
      <c r="E28" s="243">
        <f>Reserves!E10</f>
        <v>3700</v>
      </c>
      <c r="F28" s="303"/>
      <c r="G28" s="33"/>
      <c r="H28" s="81">
        <f>I28-P28</f>
        <v>-555</v>
      </c>
      <c r="I28" s="276">
        <v>3145</v>
      </c>
      <c r="J28" s="83">
        <f>I28/12*Summary!$H$30</f>
        <v>2620.833333333333</v>
      </c>
      <c r="K28" s="371">
        <f>J28</f>
        <v>2620.833333333333</v>
      </c>
      <c r="L28" s="83">
        <f t="shared" ref="L28" si="30">J28-K28</f>
        <v>0</v>
      </c>
      <c r="M28" s="240"/>
      <c r="N28" s="240"/>
      <c r="O28" s="81">
        <f>P28-W28</f>
        <v>0</v>
      </c>
      <c r="P28" s="113">
        <v>3700</v>
      </c>
      <c r="Q28" s="83">
        <f>P28</f>
        <v>3700</v>
      </c>
      <c r="R28" s="348">
        <v>3700</v>
      </c>
      <c r="S28" s="83">
        <f t="shared" ref="S28" si="31">Q28-R28</f>
        <v>0</v>
      </c>
      <c r="T28" s="114"/>
      <c r="U28" s="114"/>
      <c r="V28" s="77">
        <f>W28-AB28</f>
        <v>0</v>
      </c>
      <c r="W28" s="113">
        <v>3700</v>
      </c>
      <c r="X28" s="83">
        <f t="shared" ref="X28" si="32">W28/12*10</f>
        <v>3083.333333333333</v>
      </c>
      <c r="Y28" s="83">
        <v>0</v>
      </c>
      <c r="Z28" s="83">
        <f t="shared" ref="Z28" si="33">X28-Y28</f>
        <v>3083.333333333333</v>
      </c>
      <c r="AA28" s="114"/>
      <c r="AB28" s="113">
        <v>3700</v>
      </c>
      <c r="AC28" s="114">
        <f t="shared" ref="AC28" si="34">SUM(AB28/12*10)</f>
        <v>3083.333333333333</v>
      </c>
      <c r="AD28" s="114">
        <v>2775</v>
      </c>
      <c r="AE28" s="114">
        <f>AC28-AD28</f>
        <v>308.33333333333303</v>
      </c>
      <c r="AG28" s="124" t="s">
        <v>228</v>
      </c>
    </row>
    <row r="29" spans="1:34" x14ac:dyDescent="0.3">
      <c r="A29" s="33"/>
      <c r="B29" s="33"/>
      <c r="C29" s="33"/>
      <c r="D29" s="112"/>
      <c r="E29" s="32"/>
      <c r="F29" s="315"/>
      <c r="G29" s="33"/>
      <c r="H29" s="112"/>
      <c r="J29" s="83"/>
      <c r="K29" s="83"/>
      <c r="L29" s="83"/>
      <c r="O29" s="112"/>
      <c r="P29" s="113"/>
      <c r="Q29" s="83"/>
      <c r="R29" s="348"/>
      <c r="S29" s="83"/>
      <c r="T29" s="114"/>
      <c r="U29" s="114"/>
      <c r="V29" s="77"/>
      <c r="W29" s="113"/>
      <c r="X29" s="83"/>
      <c r="Y29" s="83"/>
      <c r="Z29" s="83"/>
      <c r="AA29" s="114"/>
      <c r="AB29" s="113"/>
      <c r="AC29" s="114"/>
      <c r="AD29" s="114"/>
      <c r="AE29" s="114"/>
      <c r="AG29" s="124"/>
    </row>
    <row r="30" spans="1:34" s="129" customFormat="1" ht="15" thickBot="1" x14ac:dyDescent="0.35">
      <c r="A30" s="135" t="s">
        <v>1</v>
      </c>
      <c r="B30" s="147"/>
      <c r="C30" s="147"/>
      <c r="D30" s="125">
        <f t="shared" ref="D30" si="35">SUM(D26:D29)</f>
        <v>505</v>
      </c>
      <c r="E30" s="126">
        <f t="shared" ref="E30" si="36">SUM(E26:E29)</f>
        <v>6319</v>
      </c>
      <c r="F30" s="422"/>
      <c r="G30" s="147"/>
      <c r="H30" s="125">
        <f t="shared" ref="H30" si="37">SUM(H26:H29)</f>
        <v>-628.20063492063491</v>
      </c>
      <c r="I30" s="335">
        <f t="shared" ref="I30:L30" si="38">SUM(I26:I29)</f>
        <v>5814</v>
      </c>
      <c r="J30" s="127">
        <f t="shared" si="38"/>
        <v>4845</v>
      </c>
      <c r="K30" s="127">
        <f t="shared" si="38"/>
        <v>6564.833333333333</v>
      </c>
      <c r="L30" s="127">
        <f t="shared" si="38"/>
        <v>-1719.8333333333335</v>
      </c>
      <c r="M30" s="253"/>
      <c r="N30" s="253"/>
      <c r="O30" s="125">
        <f>SUM(O26:O29)</f>
        <v>232.20063492063497</v>
      </c>
      <c r="P30" s="126">
        <f>SUM(P26:P29)</f>
        <v>6442.2006349206349</v>
      </c>
      <c r="Q30" s="127">
        <f t="shared" ref="Q30:S30" si="39">SUM(Q26:Q29)</f>
        <v>6442.2006349206349</v>
      </c>
      <c r="R30" s="127">
        <f t="shared" si="39"/>
        <v>6418</v>
      </c>
      <c r="S30" s="127">
        <f t="shared" si="39"/>
        <v>24.200634920634954</v>
      </c>
      <c r="T30" s="138"/>
      <c r="U30" s="138"/>
      <c r="V30" s="125">
        <f t="shared" ref="V30:Z30" si="40">SUM(V26:V29)</f>
        <v>-128</v>
      </c>
      <c r="W30" s="126">
        <f t="shared" si="40"/>
        <v>6210</v>
      </c>
      <c r="X30" s="127">
        <f t="shared" si="40"/>
        <v>5175</v>
      </c>
      <c r="Y30" s="127">
        <f t="shared" si="40"/>
        <v>1351.98</v>
      </c>
      <c r="Z30" s="127">
        <f t="shared" si="40"/>
        <v>3823.0199999999995</v>
      </c>
      <c r="AA30" s="138"/>
      <c r="AB30" s="126">
        <f>SUM(AB26:AB29)</f>
        <v>6338</v>
      </c>
      <c r="AC30" s="127">
        <f t="shared" ref="AC30:AE30" si="41">SUM(AC26:AC29)</f>
        <v>5281.6666666666661</v>
      </c>
      <c r="AD30" s="127">
        <f t="shared" si="41"/>
        <v>4109.6499999999996</v>
      </c>
      <c r="AE30" s="127">
        <f t="shared" si="41"/>
        <v>1172.0166666666667</v>
      </c>
      <c r="AG30" s="155">
        <f>SUM(B30:AF30)</f>
        <v>74591.935238095233</v>
      </c>
      <c r="AH30" s="156" t="s">
        <v>143</v>
      </c>
    </row>
    <row r="31" spans="1:34" x14ac:dyDescent="0.3">
      <c r="E31" s="32"/>
      <c r="F31" s="315"/>
      <c r="O31" s="30"/>
      <c r="P31" s="30"/>
    </row>
    <row r="32" spans="1:34" x14ac:dyDescent="0.3">
      <c r="A32" s="233" t="str">
        <f>"* "&amp;Summary!$A$26</f>
        <v>* Inflation Factor, CPI to 16th September, 2020</v>
      </c>
      <c r="B32" s="233"/>
      <c r="C32" s="233"/>
      <c r="D32" s="233"/>
      <c r="E32" s="353">
        <f>Summary!$E$26</f>
        <v>5.0000000000000001E-3</v>
      </c>
      <c r="F32" s="201"/>
      <c r="G32" s="233"/>
      <c r="H32" s="436" t="str">
        <f>Summary!$H$26</f>
        <v>October, 2019</v>
      </c>
      <c r="I32" s="353">
        <f>Summary!$I$26</f>
        <v>1.7000000000000001E-2</v>
      </c>
      <c r="J32" s="311"/>
      <c r="K32" s="311"/>
      <c r="L32" s="311"/>
      <c r="M32" s="241"/>
      <c r="N32" s="241"/>
      <c r="O32" s="436" t="str">
        <f>Summary!$O$26</f>
        <v>October, 2018</v>
      </c>
      <c r="P32" s="353">
        <f>Summary!$P$26</f>
        <v>2.4E-2</v>
      </c>
      <c r="Q32" s="241"/>
    </row>
    <row r="33" spans="1:16" x14ac:dyDescent="0.3">
      <c r="A33"/>
      <c r="B33"/>
      <c r="C33"/>
      <c r="D33"/>
      <c r="E33"/>
      <c r="F33"/>
      <c r="G33"/>
      <c r="H33"/>
      <c r="I33"/>
      <c r="J33"/>
      <c r="K33"/>
    </row>
    <row r="34" spans="1:16" x14ac:dyDescent="0.3">
      <c r="A34"/>
      <c r="B34"/>
      <c r="C34"/>
      <c r="D34"/>
      <c r="E34"/>
      <c r="F34"/>
      <c r="G34"/>
      <c r="H34"/>
      <c r="I34"/>
      <c r="J34"/>
      <c r="K34"/>
      <c r="L34" s="306"/>
      <c r="P34" s="274"/>
    </row>
    <row r="35" spans="1:16" x14ac:dyDescent="0.3">
      <c r="A35"/>
      <c r="B35"/>
      <c r="C35"/>
      <c r="D35"/>
      <c r="E35"/>
      <c r="F35"/>
      <c r="G35"/>
      <c r="H35"/>
      <c r="I35"/>
      <c r="J35"/>
      <c r="K35"/>
      <c r="L35" s="307"/>
    </row>
    <row r="36" spans="1:16" x14ac:dyDescent="0.3">
      <c r="A36"/>
      <c r="B36"/>
      <c r="C36"/>
      <c r="D36"/>
      <c r="E36"/>
      <c r="F36"/>
      <c r="G36"/>
      <c r="H36"/>
      <c r="I36"/>
      <c r="J36"/>
      <c r="K36"/>
      <c r="L36" s="307"/>
    </row>
    <row r="37" spans="1:16" x14ac:dyDescent="0.3">
      <c r="A37"/>
      <c r="B37"/>
      <c r="C37"/>
      <c r="D37"/>
      <c r="E37"/>
      <c r="F37"/>
      <c r="G37"/>
      <c r="H37"/>
      <c r="I37"/>
      <c r="J37"/>
      <c r="K37"/>
      <c r="L37" s="307"/>
    </row>
    <row r="38" spans="1:16" x14ac:dyDescent="0.3">
      <c r="A38"/>
      <c r="B38"/>
      <c r="C38"/>
      <c r="D38"/>
      <c r="E38"/>
      <c r="F38"/>
      <c r="G38"/>
      <c r="H38"/>
      <c r="I38"/>
      <c r="J38"/>
      <c r="K38"/>
      <c r="L38" s="307"/>
    </row>
    <row r="39" spans="1:16" x14ac:dyDescent="0.3">
      <c r="A39"/>
      <c r="B39"/>
      <c r="C39"/>
      <c r="D39"/>
      <c r="E39"/>
      <c r="F39"/>
      <c r="G39"/>
      <c r="H39"/>
      <c r="I39"/>
      <c r="J39"/>
      <c r="K39"/>
      <c r="L39" s="308"/>
    </row>
    <row r="40" spans="1:16" x14ac:dyDescent="0.3">
      <c r="A40"/>
      <c r="B40"/>
      <c r="C40"/>
      <c r="D40"/>
      <c r="E40"/>
      <c r="F40"/>
      <c r="G40"/>
      <c r="H40"/>
      <c r="I40"/>
      <c r="J40"/>
      <c r="K40"/>
      <c r="L40" s="308"/>
    </row>
    <row r="41" spans="1:16" x14ac:dyDescent="0.3">
      <c r="A41"/>
      <c r="B41"/>
      <c r="C41"/>
      <c r="D41"/>
      <c r="E41"/>
      <c r="F41"/>
      <c r="G41"/>
      <c r="H41"/>
      <c r="I41"/>
      <c r="J41"/>
      <c r="K41"/>
      <c r="L41" s="308"/>
    </row>
    <row r="42" spans="1:16" x14ac:dyDescent="0.3">
      <c r="A42"/>
      <c r="B42"/>
      <c r="C42"/>
      <c r="D42"/>
      <c r="E42"/>
      <c r="F42"/>
      <c r="G42"/>
      <c r="H42"/>
      <c r="I42"/>
      <c r="J42"/>
      <c r="K42"/>
      <c r="L42" s="308"/>
    </row>
    <row r="43" spans="1:16" x14ac:dyDescent="0.3">
      <c r="A43"/>
      <c r="B43"/>
      <c r="C43"/>
      <c r="D43"/>
      <c r="E43"/>
      <c r="F43"/>
      <c r="G43"/>
      <c r="H43"/>
      <c r="I43"/>
      <c r="J43"/>
      <c r="K43"/>
      <c r="L43" s="308"/>
    </row>
    <row r="44" spans="1:16" x14ac:dyDescent="0.3">
      <c r="A44"/>
      <c r="B44"/>
      <c r="C44"/>
      <c r="D44"/>
      <c r="E44"/>
      <c r="F44"/>
      <c r="G44"/>
      <c r="H44"/>
      <c r="I44"/>
      <c r="J44"/>
      <c r="K44"/>
      <c r="L44" s="309"/>
    </row>
    <row r="45" spans="1:16" x14ac:dyDescent="0.3">
      <c r="A45"/>
      <c r="B45"/>
      <c r="C45"/>
      <c r="D45"/>
      <c r="E45"/>
      <c r="F45"/>
      <c r="G45"/>
      <c r="H45"/>
      <c r="I45"/>
      <c r="J45"/>
      <c r="K45"/>
      <c r="L45" s="310"/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 s="311"/>
    </row>
    <row r="47" spans="1:16" ht="30" customHeight="1" x14ac:dyDescent="0.3">
      <c r="A47"/>
      <c r="B47"/>
      <c r="C47"/>
      <c r="D47"/>
      <c r="E47"/>
      <c r="F47"/>
      <c r="G47"/>
      <c r="H47"/>
      <c r="I47"/>
      <c r="J47"/>
      <c r="K47"/>
      <c r="L47" s="292"/>
      <c r="M47" s="355"/>
      <c r="N47" s="355"/>
      <c r="O47" s="355"/>
    </row>
    <row r="48" spans="1:16" ht="30" customHeight="1" x14ac:dyDescent="0.3">
      <c r="A48"/>
      <c r="B48"/>
      <c r="C48"/>
      <c r="D48"/>
      <c r="E48"/>
      <c r="F48"/>
      <c r="G48"/>
      <c r="H48"/>
      <c r="I48"/>
      <c r="J48"/>
      <c r="K48"/>
      <c r="L48" s="292"/>
      <c r="M48" s="355"/>
      <c r="N48" s="355"/>
      <c r="O48" s="355"/>
    </row>
    <row r="49" spans="1:15" ht="30" customHeight="1" x14ac:dyDescent="0.3">
      <c r="A49" s="552"/>
      <c r="B49" s="483"/>
      <c r="C49" s="483"/>
      <c r="D49" s="483"/>
      <c r="E49" s="483"/>
      <c r="F49" s="483"/>
      <c r="G49" s="483"/>
      <c r="H49" s="483"/>
      <c r="I49" s="292"/>
      <c r="J49" s="292"/>
      <c r="K49" s="292"/>
      <c r="L49" s="292"/>
      <c r="M49" s="355"/>
      <c r="N49" s="355"/>
      <c r="O49" s="355"/>
    </row>
  </sheetData>
  <mergeCells count="18">
    <mergeCell ref="A49:H49"/>
    <mergeCell ref="P4:Q4"/>
    <mergeCell ref="Q5:S5"/>
    <mergeCell ref="H4:H5"/>
    <mergeCell ref="D3:E3"/>
    <mergeCell ref="D4:D5"/>
    <mergeCell ref="E4:E5"/>
    <mergeCell ref="H3:L3"/>
    <mergeCell ref="I4:J4"/>
    <mergeCell ref="O3:S3"/>
    <mergeCell ref="AB3:AE3"/>
    <mergeCell ref="O4:O5"/>
    <mergeCell ref="V4:V5"/>
    <mergeCell ref="W4:X4"/>
    <mergeCell ref="AB4:AC4"/>
    <mergeCell ref="X5:Z5"/>
    <mergeCell ref="AC5:AE5"/>
    <mergeCell ref="V3:Z3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8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32"/>
  <sheetViews>
    <sheetView showGridLines="0" zoomScale="80" zoomScaleNormal="80" workbookViewId="0">
      <pane ySplit="5" topLeftCell="A6" activePane="bottomLeft" state="frozen"/>
      <selection activeCell="H32" sqref="H32:I32"/>
      <selection pane="bottomLeft" activeCell="A17" sqref="A17:M32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554687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s="45" customFormat="1" ht="21" x14ac:dyDescent="0.4">
      <c r="A1" s="44" t="s">
        <v>174</v>
      </c>
      <c r="B1" s="25"/>
      <c r="C1" s="25"/>
      <c r="D1" s="220" t="s">
        <v>172</v>
      </c>
      <c r="F1" s="427"/>
      <c r="H1" s="181">
        <v>9</v>
      </c>
      <c r="I1" s="321"/>
      <c r="J1" s="321"/>
      <c r="K1" s="321"/>
      <c r="L1" s="321"/>
      <c r="M1" s="249"/>
      <c r="N1" s="249"/>
      <c r="O1" s="249"/>
      <c r="P1" s="249"/>
      <c r="Q1" s="249"/>
    </row>
    <row r="3" spans="1:34" s="265" customFormat="1" ht="21" x14ac:dyDescent="0.4">
      <c r="A3" s="398" t="s">
        <v>201</v>
      </c>
      <c r="B3" s="44"/>
      <c r="C3" s="44"/>
      <c r="D3" s="553">
        <v>2021</v>
      </c>
      <c r="E3" s="544"/>
      <c r="F3" s="412"/>
      <c r="G3" s="4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x14ac:dyDescent="0.3">
      <c r="O6" s="107"/>
      <c r="P6" s="108"/>
      <c r="S6" s="109"/>
      <c r="T6" s="109"/>
      <c r="U6" s="109"/>
      <c r="V6" s="107"/>
      <c r="W6" s="108"/>
      <c r="X6" s="109"/>
      <c r="Y6" s="109"/>
      <c r="Z6" s="109"/>
      <c r="AA6" s="109"/>
      <c r="AB6" s="108"/>
      <c r="AC6" s="109"/>
      <c r="AD6" s="109"/>
      <c r="AE6" s="109"/>
    </row>
    <row r="7" spans="1:34" x14ac:dyDescent="0.3">
      <c r="A7" s="33" t="s">
        <v>87</v>
      </c>
      <c r="B7" s="33"/>
      <c r="C7" s="33"/>
      <c r="D7" s="81">
        <f>E7-I7</f>
        <v>0</v>
      </c>
      <c r="E7" s="259">
        <f>I7</f>
        <v>500</v>
      </c>
      <c r="F7" s="303"/>
      <c r="G7" s="33"/>
      <c r="H7" s="81">
        <f>I7-P7</f>
        <v>0</v>
      </c>
      <c r="I7" s="276">
        <f>P7</f>
        <v>500</v>
      </c>
      <c r="J7" s="83">
        <f>I7/12*Summary!$H$30</f>
        <v>416.66666666666663</v>
      </c>
      <c r="K7" s="269">
        <v>417</v>
      </c>
      <c r="L7" s="83">
        <f>J7-K7</f>
        <v>-0.33333333333337123</v>
      </c>
      <c r="M7" s="240"/>
      <c r="N7" s="240"/>
      <c r="O7" s="81">
        <f>P7-W7</f>
        <v>0</v>
      </c>
      <c r="P7" s="108">
        <v>500</v>
      </c>
      <c r="Q7" s="83">
        <f>P7</f>
        <v>500</v>
      </c>
      <c r="R7" s="356">
        <v>500</v>
      </c>
      <c r="S7" s="83">
        <f>Q7-R7</f>
        <v>0</v>
      </c>
      <c r="T7" s="109"/>
      <c r="U7" s="109"/>
      <c r="V7" s="81">
        <f t="shared" ref="V7" si="0">W7-AB7</f>
        <v>0</v>
      </c>
      <c r="W7" s="108">
        <v>500</v>
      </c>
      <c r="X7" s="83">
        <f>W7/12*10</f>
        <v>416.66666666666663</v>
      </c>
      <c r="Y7" s="109">
        <v>0</v>
      </c>
      <c r="Z7" s="83">
        <f>X7-Y7</f>
        <v>416.66666666666663</v>
      </c>
      <c r="AA7" s="109"/>
      <c r="AB7" s="108">
        <v>500</v>
      </c>
      <c r="AC7" s="109">
        <f>SUM(AB7/12*10)</f>
        <v>416.66666666666663</v>
      </c>
      <c r="AD7" s="109">
        <v>0</v>
      </c>
      <c r="AE7" s="83">
        <f>AC7-AD7</f>
        <v>416.66666666666663</v>
      </c>
      <c r="AG7" s="30" t="s">
        <v>228</v>
      </c>
    </row>
    <row r="8" spans="1:34" x14ac:dyDescent="0.3">
      <c r="D8" s="107"/>
      <c r="E8" s="32"/>
      <c r="F8" s="315"/>
      <c r="H8" s="107"/>
      <c r="J8" s="109"/>
      <c r="K8" s="109"/>
      <c r="L8" s="109"/>
      <c r="O8" s="107"/>
      <c r="P8" s="108"/>
      <c r="Q8" s="109"/>
      <c r="R8" s="109"/>
      <c r="S8" s="109"/>
      <c r="T8" s="109"/>
      <c r="U8" s="109"/>
      <c r="V8" s="107"/>
      <c r="W8" s="108"/>
      <c r="X8" s="109"/>
      <c r="Y8" s="109"/>
      <c r="Z8" s="109"/>
      <c r="AA8" s="109"/>
      <c r="AB8" s="108"/>
      <c r="AC8" s="109"/>
      <c r="AD8" s="109"/>
      <c r="AE8" s="109"/>
    </row>
    <row r="9" spans="1:34" s="129" customFormat="1" ht="15" thickBot="1" x14ac:dyDescent="0.35">
      <c r="A9" s="135" t="s">
        <v>138</v>
      </c>
      <c r="B9" s="147"/>
      <c r="C9" s="147"/>
      <c r="D9" s="131">
        <f>SUM(D6:D8)</f>
        <v>0</v>
      </c>
      <c r="E9" s="132">
        <f>SUM(E6:E8)</f>
        <v>500</v>
      </c>
      <c r="F9" s="428"/>
      <c r="G9" s="147"/>
      <c r="H9" s="131">
        <f>SUM(H6:H8)</f>
        <v>0</v>
      </c>
      <c r="I9" s="338">
        <f>SUM(I6:I8)</f>
        <v>500</v>
      </c>
      <c r="J9" s="134">
        <f>SUM(J6:J8)</f>
        <v>416.66666666666663</v>
      </c>
      <c r="K9" s="134">
        <f>SUM(K6:K8)</f>
        <v>417</v>
      </c>
      <c r="L9" s="134">
        <f>SUM(L6:L8)</f>
        <v>-0.33333333333337123</v>
      </c>
      <c r="M9" s="255"/>
      <c r="N9" s="255"/>
      <c r="O9" s="131">
        <f>SUM(O6:O8)</f>
        <v>0</v>
      </c>
      <c r="P9" s="132">
        <f>SUM(P6:P8)</f>
        <v>500</v>
      </c>
      <c r="Q9" s="134">
        <f>SUM(Q6:Q8)</f>
        <v>500</v>
      </c>
      <c r="R9" s="134">
        <f>SUM(R6:R8)</f>
        <v>500</v>
      </c>
      <c r="S9" s="134">
        <f>SUM(S6:S8)</f>
        <v>0</v>
      </c>
      <c r="T9" s="133"/>
      <c r="U9" s="133"/>
      <c r="V9" s="131">
        <f>SUM(V6:V8)</f>
        <v>0</v>
      </c>
      <c r="W9" s="132">
        <f>SUM(W6:W8)</f>
        <v>500</v>
      </c>
      <c r="X9" s="134">
        <f>SUM(X6:X8)</f>
        <v>416.66666666666663</v>
      </c>
      <c r="Y9" s="134">
        <f>SUM(Y6:Y8)</f>
        <v>0</v>
      </c>
      <c r="Z9" s="134">
        <f>SUM(Z6:Z8)</f>
        <v>416.66666666666663</v>
      </c>
      <c r="AA9" s="133"/>
      <c r="AB9" s="132">
        <f>SUM(AB6:AB8)</f>
        <v>500</v>
      </c>
      <c r="AC9" s="134">
        <f>SUM(AC6:AC8)</f>
        <v>416.66666666666663</v>
      </c>
      <c r="AD9" s="134">
        <f>SUM(AD6:AD8)</f>
        <v>0</v>
      </c>
      <c r="AE9" s="134">
        <f>SUM(AE6:AE8)</f>
        <v>416.66666666666663</v>
      </c>
    </row>
    <row r="10" spans="1:34" x14ac:dyDescent="0.3">
      <c r="A10" s="33"/>
      <c r="B10" s="33"/>
      <c r="C10" s="33"/>
      <c r="D10" s="107"/>
      <c r="E10" s="32"/>
      <c r="F10" s="315"/>
      <c r="G10" s="33"/>
      <c r="H10" s="107"/>
      <c r="J10" s="109"/>
      <c r="K10" s="109"/>
      <c r="L10" s="109"/>
      <c r="O10" s="107"/>
      <c r="P10" s="110"/>
      <c r="Q10" s="109"/>
      <c r="R10" s="109"/>
      <c r="S10" s="109"/>
      <c r="T10" s="109"/>
      <c r="U10" s="109"/>
      <c r="V10" s="107"/>
      <c r="W10" s="110"/>
      <c r="X10" s="109"/>
      <c r="Y10" s="109"/>
      <c r="Z10" s="109"/>
      <c r="AA10" s="109"/>
      <c r="AB10" s="110"/>
      <c r="AC10" s="111"/>
      <c r="AD10" s="111"/>
      <c r="AE10" s="109"/>
    </row>
    <row r="11" spans="1:34" ht="15.6" x14ac:dyDescent="0.3">
      <c r="A11" s="33" t="s">
        <v>95</v>
      </c>
      <c r="B11" s="33"/>
      <c r="C11" s="33"/>
      <c r="D11" s="81">
        <f>E11-I11</f>
        <v>525</v>
      </c>
      <c r="E11" s="243">
        <f>Reserves!E9</f>
        <v>3500</v>
      </c>
      <c r="F11" s="303"/>
      <c r="G11" s="33"/>
      <c r="H11" s="81">
        <f>I11-P11</f>
        <v>-700</v>
      </c>
      <c r="I11" s="276">
        <v>2975</v>
      </c>
      <c r="J11" s="83">
        <f>I11/12*Summary!$H$30</f>
        <v>2479.1666666666665</v>
      </c>
      <c r="K11" s="371">
        <f>J11</f>
        <v>2479.1666666666665</v>
      </c>
      <c r="L11" s="83">
        <f>J11-K11</f>
        <v>0</v>
      </c>
      <c r="M11" s="240"/>
      <c r="N11" s="240"/>
      <c r="O11" s="81">
        <f>P11-W11</f>
        <v>175</v>
      </c>
      <c r="P11" s="108">
        <v>3675</v>
      </c>
      <c r="Q11" s="83">
        <f>P11</f>
        <v>3675</v>
      </c>
      <c r="R11" s="348">
        <v>3000</v>
      </c>
      <c r="S11" s="83">
        <f>Q11-R11</f>
        <v>675</v>
      </c>
      <c r="T11" s="109"/>
      <c r="U11" s="109"/>
      <c r="V11" s="81">
        <f t="shared" ref="V11" si="1">W11-AB11</f>
        <v>0</v>
      </c>
      <c r="W11" s="108">
        <v>3500</v>
      </c>
      <c r="X11" s="83">
        <f>W11/12*10</f>
        <v>2916.666666666667</v>
      </c>
      <c r="Y11" s="109">
        <v>0</v>
      </c>
      <c r="Z11" s="83">
        <f>X11-Y11</f>
        <v>2916.666666666667</v>
      </c>
      <c r="AA11" s="109"/>
      <c r="AB11" s="108">
        <v>3500</v>
      </c>
      <c r="AC11" s="109">
        <v>2917</v>
      </c>
      <c r="AD11" s="109">
        <v>2250</v>
      </c>
      <c r="AE11" s="83">
        <f>AC11-AD11</f>
        <v>667</v>
      </c>
      <c r="AG11" s="41" t="s">
        <v>228</v>
      </c>
    </row>
    <row r="12" spans="1:34" x14ac:dyDescent="0.3">
      <c r="A12" s="33"/>
      <c r="B12" s="33"/>
      <c r="C12" s="33"/>
      <c r="D12" s="107"/>
      <c r="E12" s="32"/>
      <c r="F12" s="315"/>
      <c r="G12" s="33"/>
      <c r="H12" s="107"/>
      <c r="J12" s="109"/>
      <c r="K12" s="109"/>
      <c r="L12" s="109"/>
      <c r="O12" s="107"/>
      <c r="P12" s="108"/>
      <c r="Q12" s="109"/>
      <c r="R12" s="109"/>
      <c r="S12" s="109"/>
      <c r="T12" s="109"/>
      <c r="U12" s="109"/>
      <c r="V12" s="81"/>
      <c r="W12" s="108"/>
      <c r="X12" s="109"/>
      <c r="Y12" s="109"/>
      <c r="Z12" s="109"/>
      <c r="AA12" s="109"/>
      <c r="AB12" s="108"/>
      <c r="AC12" s="109"/>
      <c r="AD12" s="109"/>
      <c r="AE12" s="83"/>
    </row>
    <row r="13" spans="1:34" s="129" customFormat="1" ht="15" thickBot="1" x14ac:dyDescent="0.35">
      <c r="A13" s="135" t="s">
        <v>1</v>
      </c>
      <c r="B13" s="147"/>
      <c r="C13" s="147"/>
      <c r="D13" s="131">
        <f>SUM(D9:D11)</f>
        <v>525</v>
      </c>
      <c r="E13" s="132">
        <f>SUM(E9:E11)</f>
        <v>4000</v>
      </c>
      <c r="F13" s="428"/>
      <c r="G13" s="147"/>
      <c r="H13" s="131">
        <f>SUM(H9:H11)</f>
        <v>-700</v>
      </c>
      <c r="I13" s="338">
        <f>SUM(I9:I11)</f>
        <v>3475</v>
      </c>
      <c r="J13" s="134">
        <f>SUM(J9:J11)</f>
        <v>2895.833333333333</v>
      </c>
      <c r="K13" s="134">
        <f>SUM(K9:K11)</f>
        <v>2896.1666666666665</v>
      </c>
      <c r="L13" s="134">
        <f>SUM(L9:L11)</f>
        <v>-0.33333333333337123</v>
      </c>
      <c r="M13" s="255"/>
      <c r="N13" s="255"/>
      <c r="O13" s="131">
        <f>SUM(O9:O11)</f>
        <v>175</v>
      </c>
      <c r="P13" s="132">
        <f>SUM(P9:P11)</f>
        <v>4175</v>
      </c>
      <c r="Q13" s="134">
        <f>SUM(Q9:Q11)</f>
        <v>4175</v>
      </c>
      <c r="R13" s="134">
        <f>SUM(R9:R11)</f>
        <v>3500</v>
      </c>
      <c r="S13" s="134">
        <f>SUM(S9:S11)</f>
        <v>675</v>
      </c>
      <c r="T13" s="133"/>
      <c r="U13" s="133"/>
      <c r="V13" s="131">
        <f>SUM(V9:V11)</f>
        <v>0</v>
      </c>
      <c r="W13" s="132">
        <f>SUM(W9:W11)</f>
        <v>4000</v>
      </c>
      <c r="X13" s="134">
        <f>SUM(X9:X11)</f>
        <v>3333.3333333333335</v>
      </c>
      <c r="Y13" s="134">
        <f>SUM(Y9:Y11)</f>
        <v>0</v>
      </c>
      <c r="Z13" s="134">
        <f>SUM(Z9:Z11)</f>
        <v>3333.3333333333335</v>
      </c>
      <c r="AA13" s="133"/>
      <c r="AB13" s="132">
        <f>SUM(AB9:AB11)</f>
        <v>4000</v>
      </c>
      <c r="AC13" s="134">
        <f>SUM(AC9:AC11)</f>
        <v>3333.6666666666665</v>
      </c>
      <c r="AD13" s="134">
        <f>SUM(AD9:AD11)</f>
        <v>2250</v>
      </c>
      <c r="AE13" s="134">
        <f>SUM(AE9:AE11)</f>
        <v>1083.6666666666665</v>
      </c>
      <c r="AG13" s="155">
        <f>SUM(B13:AF13)</f>
        <v>47125.666666666664</v>
      </c>
      <c r="AH13" s="156" t="s">
        <v>143</v>
      </c>
    </row>
    <row r="14" spans="1:34" x14ac:dyDescent="0.3">
      <c r="O14" s="30"/>
      <c r="P14" s="30"/>
    </row>
    <row r="15" spans="1:34" x14ac:dyDescent="0.3">
      <c r="A15" s="233" t="str">
        <f>"* "&amp;Summary!$A$26</f>
        <v>* Inflation Factor, CPI to 16th September, 2020</v>
      </c>
      <c r="B15" s="233"/>
      <c r="C15" s="233"/>
      <c r="D15" s="233"/>
      <c r="E15" s="353">
        <f>Summary!$E$26</f>
        <v>5.0000000000000001E-3</v>
      </c>
      <c r="F15" s="201"/>
      <c r="G15" s="233"/>
      <c r="H15" s="436" t="str">
        <f>Summary!$H$26</f>
        <v>October, 2019</v>
      </c>
      <c r="I15" s="353">
        <f>Summary!$I$26</f>
        <v>1.7000000000000001E-2</v>
      </c>
      <c r="J15" s="311"/>
      <c r="K15" s="311"/>
      <c r="L15" s="311"/>
      <c r="M15" s="241"/>
      <c r="N15" s="241"/>
      <c r="O15" s="436" t="str">
        <f>Summary!$O$26</f>
        <v>October, 2018</v>
      </c>
      <c r="P15" s="353">
        <f>Summary!$P$26</f>
        <v>2.4E-2</v>
      </c>
      <c r="Q15" s="241"/>
    </row>
    <row r="16" spans="1:34" x14ac:dyDescent="0.3">
      <c r="O16" s="30"/>
      <c r="P16" s="30"/>
    </row>
    <row r="17" spans="1:16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P17" s="30"/>
    </row>
    <row r="18" spans="1:16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P18" s="30"/>
    </row>
    <row r="19" spans="1:16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P19" s="30"/>
    </row>
    <row r="20" spans="1:16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P20" s="30"/>
    </row>
    <row r="21" spans="1:16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P21" s="30"/>
    </row>
    <row r="22" spans="1:16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P22" s="30"/>
    </row>
    <row r="23" spans="1:16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P23" s="30"/>
    </row>
    <row r="24" spans="1:16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P24" s="30"/>
    </row>
    <row r="25" spans="1:16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P25" s="30"/>
    </row>
    <row r="26" spans="1:16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P26" s="30"/>
    </row>
    <row r="27" spans="1:16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P27" s="30"/>
    </row>
    <row r="28" spans="1:16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P28" s="30"/>
    </row>
    <row r="29" spans="1:16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O29" s="30"/>
      <c r="P29" s="30"/>
    </row>
    <row r="30" spans="1:16" ht="30" customHeigh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 s="355"/>
      <c r="O30" s="355"/>
    </row>
    <row r="31" spans="1:16" ht="30" customHeigh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 s="355"/>
      <c r="O31" s="355"/>
    </row>
    <row r="32" spans="1:16" ht="30" customHeigh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 s="355"/>
      <c r="O32" s="355"/>
    </row>
  </sheetData>
  <mergeCells count="17">
    <mergeCell ref="H4:H5"/>
    <mergeCell ref="D3:E3"/>
    <mergeCell ref="D4:D5"/>
    <mergeCell ref="E4:E5"/>
    <mergeCell ref="H3:L3"/>
    <mergeCell ref="I4:J4"/>
    <mergeCell ref="O3:S3"/>
    <mergeCell ref="AB3:AE3"/>
    <mergeCell ref="O4:O5"/>
    <mergeCell ref="V4:V5"/>
    <mergeCell ref="W4:X4"/>
    <mergeCell ref="AB4:AC4"/>
    <mergeCell ref="X5:Z5"/>
    <mergeCell ref="AC5:AE5"/>
    <mergeCell ref="V3:Z3"/>
    <mergeCell ref="P4:Q4"/>
    <mergeCell ref="Q5:S5"/>
  </mergeCells>
  <phoneticPr fontId="19" type="noConversion"/>
  <pageMargins left="0.74803149606299213" right="0.74803149606299213" top="0.98425196850393704" bottom="0.98425196850393704" header="0.51181102362204722" footer="0.51181102362204722"/>
  <pageSetup paperSize="8" scale="57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49"/>
  <sheetViews>
    <sheetView showGridLines="0" zoomScale="80" zoomScaleNormal="80" workbookViewId="0">
      <pane ySplit="5" topLeftCell="A24" activePane="bottomLeft" state="frozen"/>
      <selection activeCell="H32" sqref="H32:I32"/>
      <selection pane="bottomLeft" activeCell="A33" sqref="A33:O48"/>
    </sheetView>
  </sheetViews>
  <sheetFormatPr defaultColWidth="9.109375" defaultRowHeight="14.4" x14ac:dyDescent="0.3"/>
  <cols>
    <col min="1" max="1" width="42.6640625" style="30" customWidth="1"/>
    <col min="2" max="3" width="1.6640625" style="30" customWidth="1"/>
    <col min="4" max="5" width="12.6640625" style="30" customWidth="1"/>
    <col min="6" max="6" width="1.6640625" style="361" customWidth="1"/>
    <col min="7" max="7" width="1.6640625" style="30" customWidth="1"/>
    <col min="8" max="8" width="12.6640625" style="30" customWidth="1"/>
    <col min="9" max="12" width="12.6640625" style="315" customWidth="1"/>
    <col min="13" max="14" width="1.6640625" style="32" customWidth="1"/>
    <col min="15" max="17" width="11.6640625" style="32" customWidth="1"/>
    <col min="18" max="19" width="11.6640625" style="30" customWidth="1"/>
    <col min="20" max="20" width="0.109375" style="30" customWidth="1"/>
    <col min="21" max="21" width="1.6640625" style="30" customWidth="1"/>
    <col min="22" max="26" width="11.6640625" style="30" customWidth="1"/>
    <col min="27" max="27" width="2.6640625" style="30" customWidth="1"/>
    <col min="28" max="31" width="11.6640625" style="30" customWidth="1"/>
    <col min="32" max="32" width="2.6640625" style="30" customWidth="1"/>
    <col min="33" max="16384" width="9.109375" style="30"/>
  </cols>
  <sheetData>
    <row r="1" spans="1:34" ht="21" x14ac:dyDescent="0.4">
      <c r="A1" s="54" t="s">
        <v>176</v>
      </c>
      <c r="B1" s="25"/>
      <c r="C1" s="25"/>
      <c r="D1" s="220" t="s">
        <v>172</v>
      </c>
      <c r="H1" s="181">
        <v>7</v>
      </c>
      <c r="AC1" s="347"/>
      <c r="AD1" s="347"/>
      <c r="AE1" s="347"/>
      <c r="AF1" s="347"/>
    </row>
    <row r="2" spans="1:34" x14ac:dyDescent="0.3">
      <c r="H2" s="53"/>
      <c r="I2" s="313"/>
      <c r="J2" s="313"/>
      <c r="K2" s="313"/>
      <c r="L2" s="313"/>
      <c r="M2" s="237"/>
      <c r="N2" s="237"/>
      <c r="O2" s="237"/>
      <c r="P2" s="237"/>
      <c r="Q2" s="237"/>
      <c r="R2" s="53"/>
      <c r="S2" s="53"/>
      <c r="T2" s="53"/>
      <c r="U2" s="53"/>
      <c r="V2" s="53"/>
      <c r="W2" s="52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4" s="265" customFormat="1" ht="21" x14ac:dyDescent="0.4">
      <c r="A3" s="398" t="s">
        <v>201</v>
      </c>
      <c r="B3" s="54"/>
      <c r="C3" s="54"/>
      <c r="D3" s="543">
        <v>2021</v>
      </c>
      <c r="E3" s="544"/>
      <c r="F3" s="412"/>
      <c r="G3" s="54"/>
      <c r="H3" s="546">
        <v>2020</v>
      </c>
      <c r="I3" s="547"/>
      <c r="J3" s="547"/>
      <c r="K3" s="547"/>
      <c r="L3" s="548"/>
      <c r="M3" s="262"/>
      <c r="N3" s="262"/>
      <c r="O3" s="493">
        <v>2019</v>
      </c>
      <c r="P3" s="524"/>
      <c r="Q3" s="540"/>
      <c r="R3" s="540"/>
      <c r="S3" s="541"/>
      <c r="T3" s="262"/>
      <c r="U3" s="262"/>
      <c r="V3" s="493">
        <v>2018</v>
      </c>
      <c r="W3" s="540"/>
      <c r="X3" s="540"/>
      <c r="Y3" s="540"/>
      <c r="Z3" s="541"/>
      <c r="AA3" s="261"/>
      <c r="AB3" s="493">
        <v>2017</v>
      </c>
      <c r="AC3" s="524"/>
      <c r="AD3" s="524"/>
      <c r="AE3" s="525"/>
      <c r="AF3" s="262"/>
      <c r="AG3" s="264" t="s">
        <v>94</v>
      </c>
    </row>
    <row r="4" spans="1:34" ht="15" customHeight="1" x14ac:dyDescent="0.3">
      <c r="A4" s="21"/>
      <c r="B4" s="21"/>
      <c r="C4" s="21"/>
      <c r="D4" s="509" t="s">
        <v>195</v>
      </c>
      <c r="E4" s="522" t="s">
        <v>44</v>
      </c>
      <c r="F4" s="413"/>
      <c r="G4" s="21"/>
      <c r="H4" s="526" t="s">
        <v>187</v>
      </c>
      <c r="I4" s="528" t="s">
        <v>134</v>
      </c>
      <c r="J4" s="549"/>
      <c r="K4" s="300" t="s">
        <v>101</v>
      </c>
      <c r="L4" s="300" t="s">
        <v>93</v>
      </c>
      <c r="M4" s="230"/>
      <c r="N4" s="230"/>
      <c r="O4" s="538" t="s">
        <v>136</v>
      </c>
      <c r="P4" s="528" t="s">
        <v>134</v>
      </c>
      <c r="Q4" s="528"/>
      <c r="R4" s="289" t="s">
        <v>101</v>
      </c>
      <c r="S4" s="289" t="s">
        <v>93</v>
      </c>
      <c r="T4" s="289"/>
      <c r="U4" s="342"/>
      <c r="V4" s="538" t="s">
        <v>135</v>
      </c>
      <c r="W4" s="528" t="s">
        <v>134</v>
      </c>
      <c r="X4" s="528"/>
      <c r="Y4" s="289" t="s">
        <v>101</v>
      </c>
      <c r="Z4" s="289" t="s">
        <v>93</v>
      </c>
      <c r="AA4" s="21"/>
      <c r="AB4" s="528" t="s">
        <v>134</v>
      </c>
      <c r="AC4" s="529"/>
      <c r="AD4" s="289" t="s">
        <v>101</v>
      </c>
      <c r="AE4" s="289" t="s">
        <v>93</v>
      </c>
      <c r="AF4" s="289"/>
      <c r="AG4" s="23"/>
    </row>
    <row r="5" spans="1:34" x14ac:dyDescent="0.3">
      <c r="A5" s="21"/>
      <c r="B5" s="21"/>
      <c r="C5" s="21"/>
      <c r="D5" s="545"/>
      <c r="E5" s="523"/>
      <c r="F5" s="301"/>
      <c r="G5" s="21"/>
      <c r="H5" s="542"/>
      <c r="I5" s="329" t="s">
        <v>132</v>
      </c>
      <c r="J5" s="441" t="s">
        <v>199</v>
      </c>
      <c r="K5" s="439" t="str">
        <f>Summary!I30</f>
        <v>October</v>
      </c>
      <c r="L5" s="440" t="s">
        <v>200</v>
      </c>
      <c r="M5" s="288"/>
      <c r="N5" s="341"/>
      <c r="O5" s="550"/>
      <c r="P5" s="295" t="s">
        <v>132</v>
      </c>
      <c r="Q5" s="530" t="s">
        <v>236</v>
      </c>
      <c r="R5" s="531"/>
      <c r="S5" s="531"/>
      <c r="T5" s="290"/>
      <c r="U5" s="343"/>
      <c r="V5" s="539"/>
      <c r="W5" s="295" t="s">
        <v>132</v>
      </c>
      <c r="X5" s="530" t="s">
        <v>133</v>
      </c>
      <c r="Y5" s="531"/>
      <c r="Z5" s="531"/>
      <c r="AA5" s="21"/>
      <c r="AB5" s="295" t="s">
        <v>132</v>
      </c>
      <c r="AC5" s="530" t="s">
        <v>133</v>
      </c>
      <c r="AD5" s="531"/>
      <c r="AE5" s="531"/>
      <c r="AF5" s="289"/>
      <c r="AG5" s="23"/>
    </row>
    <row r="6" spans="1:34" s="361" customFormat="1" x14ac:dyDescent="0.3">
      <c r="A6" s="325"/>
      <c r="B6" s="325"/>
      <c r="C6" s="325"/>
      <c r="D6" s="325"/>
      <c r="E6" s="325"/>
      <c r="F6" s="325"/>
      <c r="G6" s="325"/>
      <c r="H6" s="394"/>
      <c r="I6" s="301"/>
      <c r="J6" s="301"/>
      <c r="K6" s="301"/>
      <c r="L6" s="301"/>
      <c r="M6" s="301"/>
      <c r="N6" s="301"/>
      <c r="O6" s="394"/>
      <c r="P6" s="329"/>
      <c r="Q6" s="340"/>
      <c r="R6" s="385"/>
      <c r="S6" s="385"/>
      <c r="T6" s="385"/>
      <c r="U6" s="385"/>
      <c r="V6" s="395"/>
      <c r="W6" s="329"/>
      <c r="X6" s="340"/>
      <c r="Y6" s="385"/>
      <c r="Z6" s="385"/>
      <c r="AA6" s="325"/>
      <c r="AB6" s="329"/>
      <c r="AC6" s="340"/>
      <c r="AD6" s="385"/>
      <c r="AE6" s="385"/>
      <c r="AF6" s="340"/>
      <c r="AG6" s="396"/>
    </row>
    <row r="7" spans="1:34" x14ac:dyDescent="0.3">
      <c r="A7" s="76" t="s">
        <v>20</v>
      </c>
      <c r="B7" s="76"/>
      <c r="C7" s="76"/>
      <c r="D7" s="76"/>
      <c r="E7" s="76"/>
      <c r="F7" s="420"/>
      <c r="G7" s="76"/>
      <c r="H7" s="76"/>
      <c r="I7" s="314"/>
      <c r="J7" s="314"/>
      <c r="K7" s="76"/>
      <c r="L7" s="314"/>
      <c r="M7" s="242"/>
      <c r="N7" s="242"/>
      <c r="O7" s="77"/>
      <c r="P7" s="78"/>
      <c r="Q7" s="242"/>
      <c r="S7" s="79"/>
      <c r="T7" s="79"/>
      <c r="U7" s="79"/>
      <c r="V7" s="77"/>
      <c r="W7" s="78"/>
      <c r="X7" s="79"/>
      <c r="Y7" s="79"/>
      <c r="Z7" s="79"/>
      <c r="AA7" s="79"/>
      <c r="AB7" s="78"/>
      <c r="AC7" s="79"/>
      <c r="AD7" s="79"/>
      <c r="AE7" s="79"/>
      <c r="AF7" s="233"/>
      <c r="AG7" s="233"/>
    </row>
    <row r="8" spans="1:34" x14ac:dyDescent="0.3">
      <c r="A8" s="80" t="s">
        <v>21</v>
      </c>
      <c r="D8" s="81">
        <f>E8-I8</f>
        <v>0</v>
      </c>
      <c r="E8" s="258">
        <v>832</v>
      </c>
      <c r="F8" s="315"/>
      <c r="G8" s="80"/>
      <c r="H8" s="81">
        <f>I8-P8</f>
        <v>144</v>
      </c>
      <c r="I8" s="303">
        <v>832</v>
      </c>
      <c r="J8" s="83">
        <f>I8/12*Summary!$H$30</f>
        <v>693.33333333333326</v>
      </c>
      <c r="K8" s="268">
        <v>554</v>
      </c>
      <c r="L8" s="83">
        <f>J8-K8</f>
        <v>139.33333333333326</v>
      </c>
      <c r="M8" s="243"/>
      <c r="N8" s="243"/>
      <c r="O8" s="81">
        <f>P8-W8</f>
        <v>38</v>
      </c>
      <c r="P8" s="82">
        <v>688</v>
      </c>
      <c r="Q8" s="83">
        <f>P8</f>
        <v>688</v>
      </c>
      <c r="R8" s="357">
        <v>811</v>
      </c>
      <c r="S8" s="83">
        <f>Q8-R8</f>
        <v>-123</v>
      </c>
      <c r="T8" s="79"/>
      <c r="U8" s="79"/>
      <c r="V8" s="77">
        <f>W8-AB8</f>
        <v>100</v>
      </c>
      <c r="W8" s="82">
        <v>650</v>
      </c>
      <c r="X8" s="83">
        <f>W8/12*10</f>
        <v>541.66666666666663</v>
      </c>
      <c r="Y8" s="114">
        <v>650</v>
      </c>
      <c r="Z8" s="83">
        <f>X8-Y8</f>
        <v>-108.33333333333337</v>
      </c>
      <c r="AA8" s="79"/>
      <c r="AB8" s="113">
        <v>550</v>
      </c>
      <c r="AC8" s="83">
        <f>AB8/12*10</f>
        <v>458.33333333333337</v>
      </c>
      <c r="AD8" s="114">
        <v>463.95</v>
      </c>
      <c r="AE8" s="79">
        <f>AC8-AD8</f>
        <v>-5.6166666666666174</v>
      </c>
      <c r="AF8" s="11"/>
      <c r="AG8" s="73"/>
    </row>
    <row r="9" spans="1:34" x14ac:dyDescent="0.3">
      <c r="A9" s="80" t="s">
        <v>14</v>
      </c>
      <c r="B9" s="80" t="s">
        <v>228</v>
      </c>
      <c r="C9" s="80"/>
      <c r="D9" s="81">
        <f>E9-I9</f>
        <v>0</v>
      </c>
      <c r="E9" s="346">
        <v>90</v>
      </c>
      <c r="F9" s="393"/>
      <c r="G9" s="80"/>
      <c r="H9" s="81">
        <f>I9-P9</f>
        <v>-2.1599999999999966</v>
      </c>
      <c r="I9" s="303">
        <v>90</v>
      </c>
      <c r="J9" s="83">
        <f>I9/12*Summary!$H$30</f>
        <v>75</v>
      </c>
      <c r="K9" s="268">
        <v>30</v>
      </c>
      <c r="L9" s="83">
        <f t="shared" ref="L9:L11" si="0">J9-K9</f>
        <v>45</v>
      </c>
      <c r="M9" s="243"/>
      <c r="N9" s="243"/>
      <c r="O9" s="81">
        <f>P9-W9</f>
        <v>2.1599999999999966</v>
      </c>
      <c r="P9" s="82">
        <f>W9+(W9*$P$32)</f>
        <v>92.16</v>
      </c>
      <c r="Q9" s="83">
        <f t="shared" ref="Q9:Q11" si="1">P9</f>
        <v>92.16</v>
      </c>
      <c r="R9" s="357">
        <v>90</v>
      </c>
      <c r="S9" s="83">
        <f>Q9-R9</f>
        <v>2.1599999999999966</v>
      </c>
      <c r="T9" s="79"/>
      <c r="U9" s="79"/>
      <c r="V9" s="77">
        <f t="shared" ref="V9:V10" si="2">W9-AB9</f>
        <v>0</v>
      </c>
      <c r="W9" s="82">
        <v>90</v>
      </c>
      <c r="X9" s="83">
        <f>W9/12*10</f>
        <v>75</v>
      </c>
      <c r="Y9" s="114">
        <v>90</v>
      </c>
      <c r="Z9" s="83">
        <f>X9-Y9</f>
        <v>-15</v>
      </c>
      <c r="AA9" s="79"/>
      <c r="AB9" s="113">
        <v>90</v>
      </c>
      <c r="AC9" s="83">
        <f>AB9/12*10</f>
        <v>75</v>
      </c>
      <c r="AD9" s="114">
        <v>75</v>
      </c>
      <c r="AE9" s="79">
        <f>AC9-AD9</f>
        <v>0</v>
      </c>
      <c r="AF9" s="11"/>
      <c r="AG9" s="73"/>
      <c r="AH9" s="17"/>
    </row>
    <row r="10" spans="1:34" x14ac:dyDescent="0.3">
      <c r="A10" s="80" t="s">
        <v>15</v>
      </c>
      <c r="B10" s="80" t="s">
        <v>228</v>
      </c>
      <c r="C10" s="80"/>
      <c r="D10" s="81">
        <f>E10-I10</f>
        <v>-89</v>
      </c>
      <c r="E10" s="346">
        <v>360</v>
      </c>
      <c r="F10" s="393"/>
      <c r="G10" s="80"/>
      <c r="H10" s="81">
        <f>I10-P10</f>
        <v>39.399999999999977</v>
      </c>
      <c r="I10" s="303">
        <v>449</v>
      </c>
      <c r="J10" s="83">
        <f>I10/12*Summary!$H$30</f>
        <v>374.16666666666663</v>
      </c>
      <c r="K10" s="268">
        <v>289</v>
      </c>
      <c r="L10" s="83">
        <f t="shared" si="0"/>
        <v>85.166666666666629</v>
      </c>
      <c r="M10" s="243"/>
      <c r="N10" s="243"/>
      <c r="O10" s="81">
        <f>P10-W10</f>
        <v>9.6000000000000227</v>
      </c>
      <c r="P10" s="82">
        <f>W10+(W10*$P$32)</f>
        <v>409.6</v>
      </c>
      <c r="Q10" s="83">
        <f t="shared" si="1"/>
        <v>409.6</v>
      </c>
      <c r="R10" s="357">
        <v>403</v>
      </c>
      <c r="S10" s="83">
        <f>Q10-R10</f>
        <v>6.6000000000000227</v>
      </c>
      <c r="T10" s="79"/>
      <c r="U10" s="79"/>
      <c r="V10" s="77">
        <f t="shared" si="2"/>
        <v>0</v>
      </c>
      <c r="W10" s="82">
        <v>400</v>
      </c>
      <c r="X10" s="83">
        <f>W10/12*10</f>
        <v>333.33333333333337</v>
      </c>
      <c r="Y10" s="114">
        <v>400</v>
      </c>
      <c r="Z10" s="83">
        <f>X10-Y10</f>
        <v>-66.666666666666629</v>
      </c>
      <c r="AA10" s="79"/>
      <c r="AB10" s="113">
        <v>400</v>
      </c>
      <c r="AC10" s="83">
        <f>AB10/12*10</f>
        <v>333.33333333333337</v>
      </c>
      <c r="AD10" s="114">
        <v>217.82</v>
      </c>
      <c r="AE10" s="79">
        <f>AC10-AD10</f>
        <v>115.51333333333338</v>
      </c>
      <c r="AF10" s="11"/>
      <c r="AG10" s="73"/>
    </row>
    <row r="11" spans="1:34" x14ac:dyDescent="0.3">
      <c r="A11" s="80" t="s">
        <v>127</v>
      </c>
      <c r="D11" s="81">
        <f>E11-I11</f>
        <v>0</v>
      </c>
      <c r="E11" s="258">
        <v>168</v>
      </c>
      <c r="F11" s="315"/>
      <c r="G11" s="80"/>
      <c r="H11" s="81">
        <f>I11-P11</f>
        <v>0</v>
      </c>
      <c r="I11" s="303">
        <v>168</v>
      </c>
      <c r="J11" s="83">
        <f>I11/12*Summary!$H$30</f>
        <v>140</v>
      </c>
      <c r="K11" s="270">
        <v>168</v>
      </c>
      <c r="L11" s="83">
        <f t="shared" si="0"/>
        <v>-28</v>
      </c>
      <c r="M11" s="243"/>
      <c r="N11" s="243"/>
      <c r="O11" s="81">
        <f>P11-W11</f>
        <v>168</v>
      </c>
      <c r="P11" s="82">
        <f>140*1.2</f>
        <v>168</v>
      </c>
      <c r="Q11" s="83">
        <f t="shared" si="1"/>
        <v>168</v>
      </c>
      <c r="R11" s="348">
        <v>168</v>
      </c>
      <c r="S11" s="83">
        <f>Q11-R11</f>
        <v>0</v>
      </c>
      <c r="T11" s="79"/>
      <c r="U11" s="79"/>
      <c r="V11" s="77">
        <f>W11-AB11</f>
        <v>0</v>
      </c>
      <c r="W11" s="82">
        <v>0</v>
      </c>
      <c r="X11" s="83">
        <f>W11/12*10</f>
        <v>0</v>
      </c>
      <c r="Y11" s="83">
        <v>0</v>
      </c>
      <c r="Z11" s="83">
        <f>X11-Y11</f>
        <v>0</v>
      </c>
      <c r="AA11" s="79"/>
      <c r="AB11" s="78">
        <v>0</v>
      </c>
      <c r="AC11" s="83">
        <f>AB11/12*10</f>
        <v>0</v>
      </c>
      <c r="AD11" s="79">
        <v>0</v>
      </c>
      <c r="AE11" s="79">
        <f>AC11-AD11</f>
        <v>0</v>
      </c>
      <c r="AF11" s="11"/>
      <c r="AG11" s="73"/>
      <c r="AH11" s="17"/>
    </row>
    <row r="12" spans="1:34" x14ac:dyDescent="0.3">
      <c r="A12" s="80"/>
      <c r="D12" s="81"/>
      <c r="E12" s="32"/>
      <c r="F12" s="315"/>
      <c r="G12" s="80"/>
      <c r="H12" s="81"/>
      <c r="I12" s="303"/>
      <c r="J12" s="114"/>
      <c r="K12" s="114"/>
      <c r="L12" s="114"/>
      <c r="M12" s="243"/>
      <c r="N12" s="243"/>
      <c r="O12" s="81"/>
      <c r="P12" s="82"/>
      <c r="Q12" s="83"/>
      <c r="R12" s="348"/>
      <c r="S12" s="83"/>
      <c r="T12" s="79"/>
      <c r="U12" s="79"/>
      <c r="V12" s="77"/>
      <c r="W12" s="82"/>
      <c r="X12" s="83"/>
      <c r="Y12" s="83"/>
      <c r="Z12" s="83"/>
      <c r="AA12" s="79"/>
      <c r="AB12" s="78"/>
      <c r="AC12" s="79"/>
      <c r="AD12" s="79"/>
      <c r="AE12" s="79"/>
      <c r="AF12" s="11"/>
      <c r="AG12" s="73"/>
    </row>
    <row r="13" spans="1:34" s="129" customFormat="1" ht="15" thickBot="1" x14ac:dyDescent="0.35">
      <c r="A13" s="135" t="s">
        <v>139</v>
      </c>
      <c r="D13" s="136">
        <f>SUM(D7:D12)</f>
        <v>-89</v>
      </c>
      <c r="E13" s="137">
        <f>SUM(E7:E12)</f>
        <v>1450</v>
      </c>
      <c r="F13" s="421"/>
      <c r="G13" s="147"/>
      <c r="H13" s="85">
        <f>SUM(H7:H12)</f>
        <v>181.23999999999998</v>
      </c>
      <c r="I13" s="331">
        <f>SUM(I7:I12)</f>
        <v>1539</v>
      </c>
      <c r="J13" s="135">
        <f t="shared" ref="J13:L13" si="3">SUM(J7:J12)</f>
        <v>1282.5</v>
      </c>
      <c r="K13" s="135">
        <f t="shared" si="3"/>
        <v>1041</v>
      </c>
      <c r="L13" s="135">
        <f t="shared" si="3"/>
        <v>241.49999999999989</v>
      </c>
      <c r="M13" s="100"/>
      <c r="N13" s="100"/>
      <c r="O13" s="85">
        <f>SUM(O7:O12)</f>
        <v>217.76000000000002</v>
      </c>
      <c r="P13" s="86">
        <f>SUM(P7:P12)</f>
        <v>1357.76</v>
      </c>
      <c r="Q13" s="88">
        <f t="shared" ref="Q13:S13" si="4">SUM(Q7:Q12)</f>
        <v>1357.76</v>
      </c>
      <c r="R13" s="349">
        <f t="shared" si="4"/>
        <v>1472</v>
      </c>
      <c r="S13" s="88">
        <f t="shared" si="4"/>
        <v>-114.23999999999998</v>
      </c>
      <c r="T13" s="87"/>
      <c r="U13" s="87"/>
      <c r="V13" s="85">
        <f t="shared" ref="V13:Z13" si="5">SUM(V7:V12)</f>
        <v>100</v>
      </c>
      <c r="W13" s="86">
        <f t="shared" si="5"/>
        <v>1140</v>
      </c>
      <c r="X13" s="88">
        <f t="shared" si="5"/>
        <v>950</v>
      </c>
      <c r="Y13" s="88">
        <f t="shared" si="5"/>
        <v>1140</v>
      </c>
      <c r="Z13" s="88">
        <f t="shared" si="5"/>
        <v>-190</v>
      </c>
      <c r="AA13" s="87"/>
      <c r="AB13" s="89">
        <f t="shared" ref="AB13:AE13" si="6">SUM(AB7:AB12)</f>
        <v>1040</v>
      </c>
      <c r="AC13" s="88">
        <f t="shared" si="6"/>
        <v>866.66666666666674</v>
      </c>
      <c r="AD13" s="88">
        <f t="shared" si="6"/>
        <v>756.77</v>
      </c>
      <c r="AE13" s="88">
        <f t="shared" si="6"/>
        <v>109.89666666666676</v>
      </c>
      <c r="AF13" s="13"/>
      <c r="AG13" s="90"/>
    </row>
    <row r="14" spans="1:34" x14ac:dyDescent="0.3">
      <c r="A14" s="76"/>
      <c r="D14" s="112"/>
      <c r="E14" s="32"/>
      <c r="F14" s="315"/>
      <c r="G14" s="76"/>
      <c r="H14" s="99"/>
      <c r="I14" s="314"/>
      <c r="J14" s="114"/>
      <c r="K14" s="114"/>
      <c r="L14" s="114"/>
      <c r="M14" s="242"/>
      <c r="N14" s="242"/>
      <c r="O14" s="99"/>
      <c r="P14" s="100"/>
      <c r="Q14" s="102"/>
      <c r="R14" s="350"/>
      <c r="S14" s="102"/>
      <c r="T14" s="87"/>
      <c r="U14" s="87"/>
      <c r="V14" s="99"/>
      <c r="W14" s="100"/>
      <c r="X14" s="102"/>
      <c r="Y14" s="102"/>
      <c r="Z14" s="102"/>
      <c r="AA14" s="87"/>
      <c r="AB14" s="128"/>
      <c r="AC14" s="102"/>
      <c r="AD14" s="102"/>
      <c r="AE14" s="102"/>
      <c r="AF14" s="13"/>
      <c r="AG14" s="73"/>
    </row>
    <row r="15" spans="1:34" x14ac:dyDescent="0.3">
      <c r="A15" s="47" t="s">
        <v>23</v>
      </c>
      <c r="D15" s="112"/>
      <c r="E15" s="32"/>
      <c r="F15" s="315"/>
      <c r="G15" s="47"/>
      <c r="H15" s="112"/>
      <c r="J15" s="114"/>
      <c r="K15" s="114"/>
      <c r="L15" s="114"/>
      <c r="O15" s="112"/>
      <c r="P15" s="113"/>
      <c r="Q15" s="114"/>
      <c r="R15" s="357"/>
      <c r="S15" s="114"/>
      <c r="T15" s="114"/>
      <c r="U15" s="114"/>
      <c r="V15" s="112"/>
      <c r="W15" s="113"/>
      <c r="X15" s="114"/>
      <c r="Y15" s="114"/>
      <c r="Z15" s="114"/>
      <c r="AA15" s="114"/>
      <c r="AB15" s="113"/>
      <c r="AC15" s="114"/>
      <c r="AD15" s="114"/>
      <c r="AE15" s="114"/>
      <c r="AG15" s="73"/>
    </row>
    <row r="16" spans="1:34" x14ac:dyDescent="0.3">
      <c r="A16" s="48" t="s">
        <v>11</v>
      </c>
      <c r="B16" s="80" t="s">
        <v>228</v>
      </c>
      <c r="C16" s="80"/>
      <c r="D16" s="81">
        <f t="shared" ref="D16:D20" si="7">E16-I16</f>
        <v>0</v>
      </c>
      <c r="E16" s="346">
        <v>200</v>
      </c>
      <c r="F16" s="393"/>
      <c r="G16" s="48"/>
      <c r="H16" s="81">
        <f>I16-P16</f>
        <v>-107.19999999999999</v>
      </c>
      <c r="I16" s="303">
        <v>200</v>
      </c>
      <c r="J16" s="83">
        <f>I16/12*Summary!$H$30</f>
        <v>166.66666666666669</v>
      </c>
      <c r="K16" s="268">
        <v>463</v>
      </c>
      <c r="L16" s="83">
        <f t="shared" ref="L16:L20" si="8">J16-K16</f>
        <v>-296.33333333333331</v>
      </c>
      <c r="M16" s="243"/>
      <c r="N16" s="243"/>
      <c r="O16" s="81">
        <f t="shared" ref="O16:O20" si="9">P16-W16</f>
        <v>7.1999999999999886</v>
      </c>
      <c r="P16" s="82">
        <f t="shared" ref="P16:P19" si="10">W16+(W16*$P$32)</f>
        <v>307.2</v>
      </c>
      <c r="Q16" s="83">
        <f t="shared" ref="Q16:Q20" si="11">P16</f>
        <v>307.2</v>
      </c>
      <c r="R16" s="357">
        <v>177</v>
      </c>
      <c r="S16" s="83">
        <f>Q16-R16</f>
        <v>130.19999999999999</v>
      </c>
      <c r="T16" s="114"/>
      <c r="U16" s="114"/>
      <c r="V16" s="77">
        <f t="shared" ref="V16:V20" si="12">W16-AB16</f>
        <v>-100</v>
      </c>
      <c r="W16" s="113">
        <v>300</v>
      </c>
      <c r="X16" s="83">
        <f>W16/12*10</f>
        <v>250</v>
      </c>
      <c r="Y16" s="114">
        <v>6.09</v>
      </c>
      <c r="Z16" s="83">
        <f>X16-Y16</f>
        <v>243.91</v>
      </c>
      <c r="AA16" s="114"/>
      <c r="AB16" s="113">
        <v>400</v>
      </c>
      <c r="AC16" s="83">
        <f t="shared" ref="AC16:AC20" si="13">AB16/12*10</f>
        <v>333.33333333333337</v>
      </c>
      <c r="AD16" s="114">
        <v>90</v>
      </c>
      <c r="AE16" s="79">
        <f t="shared" ref="AE16:AE20" si="14">AC16-AD16</f>
        <v>243.33333333333337</v>
      </c>
      <c r="AG16" s="162"/>
    </row>
    <row r="17" spans="1:34" x14ac:dyDescent="0.3">
      <c r="A17" s="48" t="s">
        <v>16</v>
      </c>
      <c r="B17" s="80" t="s">
        <v>228</v>
      </c>
      <c r="C17" s="80"/>
      <c r="D17" s="81">
        <f t="shared" si="7"/>
        <v>0</v>
      </c>
      <c r="E17" s="346">
        <v>50</v>
      </c>
      <c r="F17" s="393"/>
      <c r="G17" s="48"/>
      <c r="H17" s="81">
        <f>I17-P17</f>
        <v>-1.2000000000000028</v>
      </c>
      <c r="I17" s="303">
        <v>50</v>
      </c>
      <c r="J17" s="83">
        <f>I17/12*Summary!$H$30</f>
        <v>41.666666666666671</v>
      </c>
      <c r="K17" s="268">
        <v>0</v>
      </c>
      <c r="L17" s="83">
        <f t="shared" si="8"/>
        <v>41.666666666666671</v>
      </c>
      <c r="M17" s="243"/>
      <c r="N17" s="243"/>
      <c r="O17" s="81">
        <f t="shared" si="9"/>
        <v>1.2000000000000028</v>
      </c>
      <c r="P17" s="82">
        <f t="shared" si="10"/>
        <v>51.2</v>
      </c>
      <c r="Q17" s="83">
        <f t="shared" si="11"/>
        <v>51.2</v>
      </c>
      <c r="R17" s="357">
        <v>0</v>
      </c>
      <c r="S17" s="83">
        <f t="shared" ref="S17:S20" si="15">Q17-R17</f>
        <v>51.2</v>
      </c>
      <c r="T17" s="114"/>
      <c r="U17" s="114"/>
      <c r="V17" s="77">
        <f t="shared" si="12"/>
        <v>0</v>
      </c>
      <c r="W17" s="113">
        <v>50</v>
      </c>
      <c r="X17" s="83">
        <f t="shared" ref="X17:X20" si="16">W17/12*10</f>
        <v>41.666666666666671</v>
      </c>
      <c r="Y17" s="114">
        <v>0</v>
      </c>
      <c r="Z17" s="83">
        <f t="shared" ref="Z17:Z20" si="17">X17-Y17</f>
        <v>41.666666666666671</v>
      </c>
      <c r="AA17" s="114"/>
      <c r="AB17" s="113">
        <v>50</v>
      </c>
      <c r="AC17" s="83">
        <f t="shared" si="13"/>
        <v>41.666666666666671</v>
      </c>
      <c r="AD17" s="114">
        <v>0</v>
      </c>
      <c r="AE17" s="79">
        <f t="shared" si="14"/>
        <v>41.666666666666671</v>
      </c>
      <c r="AG17" s="73"/>
    </row>
    <row r="18" spans="1:34" x14ac:dyDescent="0.3">
      <c r="A18" s="48" t="s">
        <v>12</v>
      </c>
      <c r="B18" s="80" t="s">
        <v>228</v>
      </c>
      <c r="C18" s="80"/>
      <c r="D18" s="81">
        <f t="shared" si="7"/>
        <v>0</v>
      </c>
      <c r="E18" s="346">
        <v>50</v>
      </c>
      <c r="F18" s="393"/>
      <c r="G18" s="48"/>
      <c r="H18" s="81">
        <f>I18-P18</f>
        <v>-1.2000000000000028</v>
      </c>
      <c r="I18" s="303">
        <v>50</v>
      </c>
      <c r="J18" s="83">
        <f>I18/12*Summary!$H$30</f>
        <v>41.666666666666671</v>
      </c>
      <c r="K18" s="268">
        <v>0</v>
      </c>
      <c r="L18" s="83">
        <f t="shared" si="8"/>
        <v>41.666666666666671</v>
      </c>
      <c r="M18" s="243"/>
      <c r="N18" s="243"/>
      <c r="O18" s="81">
        <f t="shared" si="9"/>
        <v>1.2000000000000028</v>
      </c>
      <c r="P18" s="82">
        <f t="shared" si="10"/>
        <v>51.2</v>
      </c>
      <c r="Q18" s="83">
        <f t="shared" si="11"/>
        <v>51.2</v>
      </c>
      <c r="R18" s="357">
        <v>50</v>
      </c>
      <c r="S18" s="83">
        <f t="shared" si="15"/>
        <v>1.2000000000000028</v>
      </c>
      <c r="T18" s="114"/>
      <c r="U18" s="114"/>
      <c r="V18" s="77">
        <f t="shared" si="12"/>
        <v>-3</v>
      </c>
      <c r="W18" s="113">
        <v>50</v>
      </c>
      <c r="X18" s="83">
        <f t="shared" si="16"/>
        <v>41.666666666666671</v>
      </c>
      <c r="Y18" s="114">
        <v>45</v>
      </c>
      <c r="Z18" s="83">
        <f t="shared" si="17"/>
        <v>-3.3333333333333286</v>
      </c>
      <c r="AA18" s="114"/>
      <c r="AB18" s="113">
        <v>53</v>
      </c>
      <c r="AC18" s="83">
        <f t="shared" si="13"/>
        <v>44.166666666666671</v>
      </c>
      <c r="AD18" s="114">
        <v>45</v>
      </c>
      <c r="AE18" s="79">
        <f t="shared" si="14"/>
        <v>-0.8333333333333286</v>
      </c>
      <c r="AG18" s="73"/>
    </row>
    <row r="19" spans="1:34" x14ac:dyDescent="0.3">
      <c r="A19" s="48" t="s">
        <v>141</v>
      </c>
      <c r="B19" s="80" t="s">
        <v>228</v>
      </c>
      <c r="C19" s="80"/>
      <c r="D19" s="81">
        <f t="shared" si="7"/>
        <v>-99</v>
      </c>
      <c r="E19" s="346">
        <v>51</v>
      </c>
      <c r="F19" s="393"/>
      <c r="G19" s="48"/>
      <c r="H19" s="81">
        <f>I19-P19</f>
        <v>47.599999999999994</v>
      </c>
      <c r="I19" s="303">
        <v>150</v>
      </c>
      <c r="J19" s="83">
        <f>I19/12*Summary!$H$30</f>
        <v>125</v>
      </c>
      <c r="K19" s="268">
        <v>17</v>
      </c>
      <c r="L19" s="83">
        <f t="shared" si="8"/>
        <v>108</v>
      </c>
      <c r="M19" s="243"/>
      <c r="N19" s="243"/>
      <c r="O19" s="81">
        <f t="shared" si="9"/>
        <v>2.4000000000000057</v>
      </c>
      <c r="P19" s="82">
        <f t="shared" si="10"/>
        <v>102.4</v>
      </c>
      <c r="Q19" s="83">
        <f t="shared" si="11"/>
        <v>102.4</v>
      </c>
      <c r="R19" s="357">
        <v>218</v>
      </c>
      <c r="S19" s="83">
        <f t="shared" si="15"/>
        <v>-115.6</v>
      </c>
      <c r="T19" s="114"/>
      <c r="U19" s="114"/>
      <c r="V19" s="77">
        <f t="shared" si="12"/>
        <v>50</v>
      </c>
      <c r="W19" s="113">
        <v>100</v>
      </c>
      <c r="X19" s="83">
        <f t="shared" si="16"/>
        <v>83.333333333333343</v>
      </c>
      <c r="Y19" s="114">
        <v>30</v>
      </c>
      <c r="Z19" s="83">
        <f t="shared" si="17"/>
        <v>53.333333333333343</v>
      </c>
      <c r="AA19" s="114"/>
      <c r="AB19" s="113">
        <v>50</v>
      </c>
      <c r="AC19" s="83">
        <f t="shared" si="13"/>
        <v>41.666666666666671</v>
      </c>
      <c r="AD19" s="114">
        <v>165</v>
      </c>
      <c r="AE19" s="79">
        <f t="shared" si="14"/>
        <v>-123.33333333333333</v>
      </c>
      <c r="AG19" s="73"/>
    </row>
    <row r="20" spans="1:34" x14ac:dyDescent="0.3">
      <c r="A20" s="48" t="s">
        <v>128</v>
      </c>
      <c r="B20" s="48" t="s">
        <v>228</v>
      </c>
      <c r="C20" s="48"/>
      <c r="D20" s="81">
        <f t="shared" si="7"/>
        <v>0</v>
      </c>
      <c r="E20" s="258">
        <v>0</v>
      </c>
      <c r="F20" s="315"/>
      <c r="G20" s="48"/>
      <c r="H20" s="81">
        <f>I20-P20</f>
        <v>-53.650793650793652</v>
      </c>
      <c r="I20" s="315">
        <v>0</v>
      </c>
      <c r="J20" s="83">
        <f>I20/12*Summary!$H$30</f>
        <v>0</v>
      </c>
      <c r="K20" s="270">
        <v>0</v>
      </c>
      <c r="L20" s="83">
        <f t="shared" si="8"/>
        <v>0</v>
      </c>
      <c r="O20" s="81">
        <f t="shared" si="9"/>
        <v>53.650793650793652</v>
      </c>
      <c r="P20" s="113">
        <f>Reserves!X11</f>
        <v>53.650793650793652</v>
      </c>
      <c r="Q20" s="83">
        <f t="shared" si="11"/>
        <v>53.650793650793652</v>
      </c>
      <c r="R20" s="357">
        <v>104</v>
      </c>
      <c r="S20" s="83">
        <f t="shared" si="15"/>
        <v>-50.349206349206348</v>
      </c>
      <c r="T20" s="114"/>
      <c r="U20" s="114"/>
      <c r="V20" s="77">
        <f t="shared" si="12"/>
        <v>0</v>
      </c>
      <c r="W20" s="113"/>
      <c r="X20" s="83">
        <f t="shared" si="16"/>
        <v>0</v>
      </c>
      <c r="Y20" s="114">
        <v>0</v>
      </c>
      <c r="Z20" s="83">
        <f t="shared" si="17"/>
        <v>0</v>
      </c>
      <c r="AA20" s="114"/>
      <c r="AB20" s="113">
        <v>0</v>
      </c>
      <c r="AC20" s="83">
        <f t="shared" si="13"/>
        <v>0</v>
      </c>
      <c r="AD20" s="114">
        <v>0</v>
      </c>
      <c r="AE20" s="79">
        <f t="shared" si="14"/>
        <v>0</v>
      </c>
      <c r="AG20" s="73"/>
    </row>
    <row r="21" spans="1:34" x14ac:dyDescent="0.3">
      <c r="A21" s="48"/>
      <c r="B21" s="48"/>
      <c r="C21" s="48"/>
      <c r="D21" s="81"/>
      <c r="E21" s="32"/>
      <c r="F21" s="315"/>
      <c r="G21" s="48"/>
      <c r="H21" s="112"/>
      <c r="J21" s="114"/>
      <c r="K21" s="114"/>
      <c r="L21" s="114"/>
      <c r="O21" s="112"/>
      <c r="P21" s="113"/>
      <c r="Q21" s="114"/>
      <c r="R21" s="357"/>
      <c r="S21" s="114"/>
      <c r="T21" s="114"/>
      <c r="U21" s="114"/>
      <c r="V21" s="112"/>
      <c r="W21" s="113"/>
      <c r="X21" s="114"/>
      <c r="Y21" s="114"/>
      <c r="Z21" s="114"/>
      <c r="AA21" s="114"/>
      <c r="AB21" s="113"/>
      <c r="AC21" s="114"/>
      <c r="AD21" s="114"/>
      <c r="AE21" s="114"/>
      <c r="AG21" s="73"/>
    </row>
    <row r="22" spans="1:34" s="129" customFormat="1" ht="15" thickBot="1" x14ac:dyDescent="0.35">
      <c r="A22" s="135" t="s">
        <v>140</v>
      </c>
      <c r="B22" s="147"/>
      <c r="C22" s="147"/>
      <c r="D22" s="136">
        <f>SUM(D15:D21)</f>
        <v>-99</v>
      </c>
      <c r="E22" s="137">
        <f>SUM(E15:E21)</f>
        <v>351</v>
      </c>
      <c r="F22" s="421"/>
      <c r="G22" s="147"/>
      <c r="H22" s="136">
        <f>SUM(H15:H20)</f>
        <v>-115.65079365079364</v>
      </c>
      <c r="I22" s="334">
        <f>SUM(I15:I20)</f>
        <v>450</v>
      </c>
      <c r="J22" s="135">
        <f>SUM(J15:J21)</f>
        <v>375.00000000000006</v>
      </c>
      <c r="K22" s="135">
        <f>SUM(K15:K21)</f>
        <v>480</v>
      </c>
      <c r="L22" s="135">
        <f>SUM(L15:L21)</f>
        <v>-104.99999999999994</v>
      </c>
      <c r="M22" s="252"/>
      <c r="N22" s="252"/>
      <c r="O22" s="136">
        <f>SUM(O15:O20)</f>
        <v>65.650793650793645</v>
      </c>
      <c r="P22" s="137">
        <f>SUM(P15:P20)</f>
        <v>565.65079365079362</v>
      </c>
      <c r="Q22" s="135">
        <f>SUM(Q15:Q20)</f>
        <v>565.65079365079362</v>
      </c>
      <c r="R22" s="358">
        <f>SUM(R15:R20)</f>
        <v>549</v>
      </c>
      <c r="S22" s="135">
        <f>SUM(S15:S20)</f>
        <v>16.650793650793624</v>
      </c>
      <c r="T22" s="138"/>
      <c r="U22" s="138"/>
      <c r="V22" s="136">
        <f>SUM(V15:V20)</f>
        <v>-53</v>
      </c>
      <c r="W22" s="137">
        <f>SUM(W15:W20)</f>
        <v>500</v>
      </c>
      <c r="X22" s="135">
        <f>SUM(X15:X20)</f>
        <v>416.66666666666674</v>
      </c>
      <c r="Y22" s="135">
        <f>SUM(Y15:Y20)</f>
        <v>81.09</v>
      </c>
      <c r="Z22" s="135">
        <f>SUM(Z15:Z20)</f>
        <v>335.57666666666671</v>
      </c>
      <c r="AA22" s="138"/>
      <c r="AB22" s="137">
        <f>SUM(AB15:AB20)</f>
        <v>553</v>
      </c>
      <c r="AC22" s="135">
        <f>SUM(AC15:AC20)</f>
        <v>460.83333333333343</v>
      </c>
      <c r="AD22" s="135">
        <f>SUM(AD15:AD20)</f>
        <v>300</v>
      </c>
      <c r="AE22" s="135">
        <f>SUM(AE15:AE20)</f>
        <v>160.83333333333343</v>
      </c>
      <c r="AG22" s="90"/>
    </row>
    <row r="23" spans="1:34" x14ac:dyDescent="0.3">
      <c r="A23" s="33"/>
      <c r="B23" s="33"/>
      <c r="C23" s="33"/>
      <c r="D23" s="112"/>
      <c r="E23" s="32"/>
      <c r="F23" s="315"/>
      <c r="G23" s="33"/>
      <c r="H23" s="112"/>
      <c r="J23" s="114"/>
      <c r="K23" s="114"/>
      <c r="L23" s="114"/>
      <c r="O23" s="112"/>
      <c r="P23" s="121"/>
      <c r="Q23" s="114"/>
      <c r="R23" s="357"/>
      <c r="S23" s="114"/>
      <c r="T23" s="114"/>
      <c r="U23" s="114"/>
      <c r="V23" s="112"/>
      <c r="W23" s="121"/>
      <c r="X23" s="114"/>
      <c r="Y23" s="114"/>
      <c r="Z23" s="114"/>
      <c r="AA23" s="114"/>
      <c r="AB23" s="121"/>
      <c r="AC23" s="114"/>
      <c r="AD23" s="122"/>
      <c r="AE23" s="114"/>
      <c r="AG23" s="73"/>
    </row>
    <row r="24" spans="1:34" x14ac:dyDescent="0.3">
      <c r="A24" s="48" t="s">
        <v>88</v>
      </c>
      <c r="B24" s="48"/>
      <c r="C24" s="48"/>
      <c r="D24" s="81">
        <f>E24-I24</f>
        <v>0</v>
      </c>
      <c r="E24" s="259">
        <f>I24</f>
        <v>400</v>
      </c>
      <c r="F24" s="303"/>
      <c r="G24" s="48"/>
      <c r="H24" s="81">
        <f>I24-P24</f>
        <v>0</v>
      </c>
      <c r="I24" s="276">
        <f>P24</f>
        <v>400</v>
      </c>
      <c r="J24" s="83">
        <f>I24/12*Summary!$H$30</f>
        <v>333.33333333333337</v>
      </c>
      <c r="K24" s="268">
        <v>333</v>
      </c>
      <c r="L24" s="83">
        <f t="shared" ref="L24" si="18">J24-K24</f>
        <v>0.33333333333337123</v>
      </c>
      <c r="M24" s="240"/>
      <c r="N24" s="240"/>
      <c r="O24" s="81">
        <f>P24-W24</f>
        <v>0</v>
      </c>
      <c r="P24" s="113">
        <v>400</v>
      </c>
      <c r="Q24" s="83">
        <f>P24</f>
        <v>400</v>
      </c>
      <c r="R24" s="357">
        <v>400</v>
      </c>
      <c r="S24" s="83">
        <f t="shared" ref="S24" si="19">Q24-R24</f>
        <v>0</v>
      </c>
      <c r="T24" s="114"/>
      <c r="U24" s="114"/>
      <c r="V24" s="77">
        <f>W24-AB24</f>
        <v>0</v>
      </c>
      <c r="W24" s="113">
        <v>400</v>
      </c>
      <c r="X24" s="83">
        <f t="shared" ref="X24" si="20">W24/12*10</f>
        <v>333.33333333333337</v>
      </c>
      <c r="Y24" s="114">
        <v>0</v>
      </c>
      <c r="Z24" s="83">
        <f t="shared" ref="Z24" si="21">X24-Y24</f>
        <v>333.33333333333337</v>
      </c>
      <c r="AA24" s="114"/>
      <c r="AB24" s="113">
        <v>400</v>
      </c>
      <c r="AC24" s="83">
        <f>AB24/12*10</f>
        <v>333.33333333333337</v>
      </c>
      <c r="AD24" s="114">
        <v>0</v>
      </c>
      <c r="AE24" s="79">
        <f>AC24-AD24</f>
        <v>333.33333333333337</v>
      </c>
      <c r="AG24" s="73"/>
    </row>
    <row r="25" spans="1:34" x14ac:dyDescent="0.3">
      <c r="A25" s="48"/>
      <c r="B25" s="48"/>
      <c r="C25" s="48"/>
      <c r="D25" s="112"/>
      <c r="E25" s="32"/>
      <c r="F25" s="315"/>
      <c r="G25" s="48"/>
      <c r="H25" s="112"/>
      <c r="J25" s="83"/>
      <c r="K25" s="83"/>
      <c r="L25" s="83"/>
      <c r="O25" s="112"/>
      <c r="P25" s="113"/>
      <c r="Q25" s="114"/>
      <c r="R25" s="357"/>
      <c r="S25" s="114"/>
      <c r="T25" s="114"/>
      <c r="U25" s="114"/>
      <c r="V25" s="112"/>
      <c r="W25" s="113"/>
      <c r="X25" s="114"/>
      <c r="Y25" s="114"/>
      <c r="Z25" s="114"/>
      <c r="AA25" s="114"/>
      <c r="AB25" s="113"/>
      <c r="AC25" s="114"/>
      <c r="AD25" s="114"/>
      <c r="AE25" s="114"/>
      <c r="AG25" s="73"/>
    </row>
    <row r="26" spans="1:34" s="129" customFormat="1" ht="15" thickBot="1" x14ac:dyDescent="0.35">
      <c r="A26" s="135" t="s">
        <v>138</v>
      </c>
      <c r="B26" s="147"/>
      <c r="C26" s="147"/>
      <c r="D26" s="136">
        <f>D13+D22+D24</f>
        <v>-188</v>
      </c>
      <c r="E26" s="137">
        <f>E13+E22+E24</f>
        <v>2201</v>
      </c>
      <c r="F26" s="421"/>
      <c r="G26" s="147"/>
      <c r="H26" s="136">
        <f>H13+H22+H24</f>
        <v>65.589206349206336</v>
      </c>
      <c r="I26" s="334">
        <f>I13+I22+I24</f>
        <v>2389</v>
      </c>
      <c r="J26" s="135">
        <f>J13+J22+J24</f>
        <v>1990.8333333333335</v>
      </c>
      <c r="K26" s="135">
        <f>K13+K22+K24</f>
        <v>1854</v>
      </c>
      <c r="L26" s="135">
        <f>L13+L22+L24</f>
        <v>136.83333333333331</v>
      </c>
      <c r="M26" s="252"/>
      <c r="N26" s="252"/>
      <c r="O26" s="136">
        <f>O13+O22+O24</f>
        <v>283.41079365079366</v>
      </c>
      <c r="P26" s="137">
        <f>P13+P22+P24</f>
        <v>2323.4107936507935</v>
      </c>
      <c r="Q26" s="135">
        <f>Q13+Q22+Q24</f>
        <v>2323.4107936507935</v>
      </c>
      <c r="R26" s="358">
        <f>R13+R22+R24</f>
        <v>2421</v>
      </c>
      <c r="S26" s="135">
        <f>S13+S22+S24</f>
        <v>-97.589206349206364</v>
      </c>
      <c r="T26" s="138"/>
      <c r="U26" s="138"/>
      <c r="V26" s="136">
        <f>V13+V22+V24</f>
        <v>47</v>
      </c>
      <c r="W26" s="137">
        <f>W13+W22+W24</f>
        <v>2040</v>
      </c>
      <c r="X26" s="135">
        <f>X13+X22+X24</f>
        <v>1700</v>
      </c>
      <c r="Y26" s="135">
        <f>Y13+Y22+Y24</f>
        <v>1221.0899999999999</v>
      </c>
      <c r="Z26" s="135">
        <f>Z13+Z22+Z24</f>
        <v>478.91000000000008</v>
      </c>
      <c r="AA26" s="138"/>
      <c r="AB26" s="137">
        <f>AB13+AB22+AB24</f>
        <v>1993</v>
      </c>
      <c r="AC26" s="135">
        <f>AC13+AC22+AC24</f>
        <v>1660.8333333333335</v>
      </c>
      <c r="AD26" s="135">
        <f>AD13+AD22+AD24</f>
        <v>1056.77</v>
      </c>
      <c r="AE26" s="135">
        <f>AE13+AE22+AE24</f>
        <v>604.0633333333335</v>
      </c>
      <c r="AG26" s="141" t="s">
        <v>228</v>
      </c>
    </row>
    <row r="27" spans="1:34" x14ac:dyDescent="0.3">
      <c r="A27" s="33"/>
      <c r="B27" s="33"/>
      <c r="C27" s="33"/>
      <c r="D27" s="112"/>
      <c r="E27" s="32"/>
      <c r="F27" s="315"/>
      <c r="G27" s="33"/>
      <c r="H27" s="112"/>
      <c r="J27" s="114"/>
      <c r="K27" s="114"/>
      <c r="L27" s="114"/>
      <c r="O27" s="112"/>
      <c r="P27" s="121"/>
      <c r="Q27" s="114"/>
      <c r="R27" s="357"/>
      <c r="S27" s="114"/>
      <c r="T27" s="114"/>
      <c r="U27" s="114"/>
      <c r="V27" s="112"/>
      <c r="W27" s="121"/>
      <c r="X27" s="114"/>
      <c r="Y27" s="114"/>
      <c r="Z27" s="114"/>
      <c r="AA27" s="114"/>
      <c r="AB27" s="121"/>
      <c r="AC27" s="114"/>
      <c r="AD27" s="122"/>
      <c r="AE27" s="114"/>
      <c r="AG27" s="74"/>
    </row>
    <row r="28" spans="1:34" ht="15.6" x14ac:dyDescent="0.3">
      <c r="A28" s="33" t="s">
        <v>95</v>
      </c>
      <c r="B28" s="33"/>
      <c r="C28" s="33"/>
      <c r="D28" s="81">
        <f>E28-I28</f>
        <v>575</v>
      </c>
      <c r="E28" s="243">
        <f>Reserves!E11</f>
        <v>1000</v>
      </c>
      <c r="F28" s="303"/>
      <c r="G28" s="33"/>
      <c r="H28" s="81">
        <f>I28-P28</f>
        <v>125</v>
      </c>
      <c r="I28" s="276">
        <v>425</v>
      </c>
      <c r="J28" s="83">
        <f>I28/12*Summary!$H$30</f>
        <v>354.16666666666663</v>
      </c>
      <c r="K28" s="371">
        <f>J28</f>
        <v>354.16666666666663</v>
      </c>
      <c r="L28" s="83">
        <f t="shared" ref="L28" si="22">J28-K28</f>
        <v>0</v>
      </c>
      <c r="M28" s="240"/>
      <c r="N28" s="240"/>
      <c r="O28" s="81">
        <f>P28-W28</f>
        <v>-200</v>
      </c>
      <c r="P28" s="113">
        <v>300</v>
      </c>
      <c r="Q28" s="83">
        <f>P28</f>
        <v>300</v>
      </c>
      <c r="R28" s="357">
        <v>500</v>
      </c>
      <c r="S28" s="83">
        <f t="shared" ref="S28" si="23">Q28-R28</f>
        <v>-200</v>
      </c>
      <c r="T28" s="114"/>
      <c r="U28" s="114"/>
      <c r="V28" s="77">
        <f>W28-AB28</f>
        <v>0</v>
      </c>
      <c r="W28" s="113">
        <v>500</v>
      </c>
      <c r="X28" s="83">
        <f t="shared" ref="X28" si="24">W28/12*10</f>
        <v>416.66666666666663</v>
      </c>
      <c r="Y28" s="114">
        <v>0</v>
      </c>
      <c r="Z28" s="83">
        <f t="shared" ref="Z28" si="25">X28-Y28</f>
        <v>416.66666666666663</v>
      </c>
      <c r="AA28" s="114"/>
      <c r="AB28" s="113">
        <v>500</v>
      </c>
      <c r="AC28" s="83">
        <f>AB28/12*10</f>
        <v>416.66666666666663</v>
      </c>
      <c r="AD28" s="114">
        <v>375</v>
      </c>
      <c r="AE28" s="79">
        <f>AC28-AD28</f>
        <v>41.666666666666629</v>
      </c>
    </row>
    <row r="29" spans="1:34" x14ac:dyDescent="0.3">
      <c r="A29" s="33"/>
      <c r="B29" s="33"/>
      <c r="C29" s="33"/>
      <c r="D29" s="112"/>
      <c r="E29" s="32"/>
      <c r="F29" s="315"/>
      <c r="G29" s="33"/>
      <c r="H29" s="112"/>
      <c r="J29" s="83"/>
      <c r="K29" s="83"/>
      <c r="L29" s="83"/>
      <c r="O29" s="112"/>
      <c r="P29" s="113"/>
      <c r="Q29" s="114"/>
      <c r="R29" s="114"/>
      <c r="S29" s="114"/>
      <c r="T29" s="114"/>
      <c r="U29" s="114"/>
      <c r="V29" s="112"/>
      <c r="W29" s="113"/>
      <c r="X29" s="114"/>
      <c r="Y29" s="114"/>
      <c r="Z29" s="114"/>
      <c r="AA29" s="114"/>
      <c r="AB29" s="113"/>
      <c r="AC29" s="114"/>
      <c r="AD29" s="114"/>
      <c r="AE29" s="114"/>
    </row>
    <row r="30" spans="1:34" s="129" customFormat="1" ht="15" thickBot="1" x14ac:dyDescent="0.35">
      <c r="A30" s="135" t="s">
        <v>1</v>
      </c>
      <c r="B30" s="147"/>
      <c r="C30" s="147"/>
      <c r="D30" s="125">
        <f t="shared" ref="D30" si="26">SUM(D26:D29)</f>
        <v>387</v>
      </c>
      <c r="E30" s="126">
        <f t="shared" ref="E30" si="27">SUM(E26:E29)</f>
        <v>3201</v>
      </c>
      <c r="F30" s="422"/>
      <c r="G30" s="147"/>
      <c r="H30" s="125">
        <f>SUM(H26:H29)</f>
        <v>190.58920634920634</v>
      </c>
      <c r="I30" s="335">
        <f t="shared" ref="I30:L30" si="28">SUM(I26:I29)</f>
        <v>2814</v>
      </c>
      <c r="J30" s="127">
        <f t="shared" si="28"/>
        <v>2345</v>
      </c>
      <c r="K30" s="127">
        <f t="shared" si="28"/>
        <v>2208.1666666666665</v>
      </c>
      <c r="L30" s="127">
        <f t="shared" si="28"/>
        <v>136.83333333333331</v>
      </c>
      <c r="M30" s="253"/>
      <c r="N30" s="253"/>
      <c r="O30" s="125">
        <f>SUM(O26:O29)</f>
        <v>83.410793650793664</v>
      </c>
      <c r="P30" s="126">
        <f>SUM(P26:P29)</f>
        <v>2623.4107936507935</v>
      </c>
      <c r="Q30" s="127">
        <f t="shared" ref="Q30:S30" si="29">SUM(Q26:Q29)</f>
        <v>2623.4107936507935</v>
      </c>
      <c r="R30" s="127">
        <f t="shared" si="29"/>
        <v>2921</v>
      </c>
      <c r="S30" s="127">
        <f t="shared" si="29"/>
        <v>-297.58920634920639</v>
      </c>
      <c r="T30" s="138"/>
      <c r="U30" s="138"/>
      <c r="V30" s="125">
        <f t="shared" ref="V30:Z30" si="30">SUM(V26:V29)</f>
        <v>47</v>
      </c>
      <c r="W30" s="126">
        <f t="shared" si="30"/>
        <v>2540</v>
      </c>
      <c r="X30" s="127">
        <f t="shared" si="30"/>
        <v>2116.6666666666665</v>
      </c>
      <c r="Y30" s="127">
        <f t="shared" si="30"/>
        <v>1221.0899999999999</v>
      </c>
      <c r="Z30" s="127">
        <f t="shared" si="30"/>
        <v>895.57666666666671</v>
      </c>
      <c r="AA30" s="138"/>
      <c r="AB30" s="126">
        <f>SUM(AB26:AB29)</f>
        <v>2493</v>
      </c>
      <c r="AC30" s="127">
        <f t="shared" ref="AC30:AE30" si="31">SUM(AC26:AC29)</f>
        <v>2077.5</v>
      </c>
      <c r="AD30" s="127">
        <f t="shared" si="31"/>
        <v>1431.77</v>
      </c>
      <c r="AE30" s="127">
        <f t="shared" si="31"/>
        <v>645.73000000000013</v>
      </c>
      <c r="AG30" s="155">
        <f>SUM(B30:AF30)</f>
        <v>32704.565714285716</v>
      </c>
      <c r="AH30" s="156" t="s">
        <v>143</v>
      </c>
    </row>
    <row r="31" spans="1:34" x14ac:dyDescent="0.3">
      <c r="O31" s="30"/>
      <c r="P31" s="30"/>
    </row>
    <row r="32" spans="1:34" x14ac:dyDescent="0.3">
      <c r="A32" s="233" t="str">
        <f>"* "&amp;Summary!$A$26</f>
        <v>* Inflation Factor, CPI to 16th September, 2020</v>
      </c>
      <c r="B32" s="233"/>
      <c r="C32" s="233"/>
      <c r="D32" s="233"/>
      <c r="E32" s="353">
        <f>Summary!$E$26</f>
        <v>5.0000000000000001E-3</v>
      </c>
      <c r="F32" s="201"/>
      <c r="G32" s="233"/>
      <c r="H32" s="436" t="str">
        <f>Summary!$H$26</f>
        <v>October, 2019</v>
      </c>
      <c r="I32" s="353">
        <f>Summary!$I$26</f>
        <v>1.7000000000000001E-2</v>
      </c>
      <c r="J32" s="311"/>
      <c r="K32" s="311"/>
      <c r="L32" s="311"/>
      <c r="M32" s="241"/>
      <c r="N32" s="241"/>
      <c r="O32" s="436" t="str">
        <f>Summary!$O$26</f>
        <v>October, 2018</v>
      </c>
      <c r="P32" s="353">
        <f>Summary!$P$26</f>
        <v>2.4E-2</v>
      </c>
      <c r="Q32" s="241"/>
    </row>
    <row r="33" spans="1:1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30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30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30" customHeight="1" x14ac:dyDescent="0.3">
      <c r="A49" s="552"/>
      <c r="B49" s="483"/>
      <c r="C49" s="483"/>
      <c r="D49" s="483"/>
      <c r="E49" s="483"/>
      <c r="F49" s="483"/>
      <c r="G49" s="483"/>
      <c r="H49" s="483"/>
      <c r="I49" s="292"/>
      <c r="J49" s="292"/>
      <c r="K49" s="292"/>
      <c r="L49" s="292"/>
      <c r="M49" s="355"/>
      <c r="N49" s="355"/>
      <c r="O49" s="355"/>
    </row>
  </sheetData>
  <mergeCells count="18">
    <mergeCell ref="A49:H49"/>
    <mergeCell ref="P4:Q4"/>
    <mergeCell ref="Q5:S5"/>
    <mergeCell ref="H4:H5"/>
    <mergeCell ref="D3:E3"/>
    <mergeCell ref="D4:D5"/>
    <mergeCell ref="E4:E5"/>
    <mergeCell ref="H3:L3"/>
    <mergeCell ref="I4:J4"/>
    <mergeCell ref="O3:S3"/>
    <mergeCell ref="AB3:AE3"/>
    <mergeCell ref="O4:O5"/>
    <mergeCell ref="V4:V5"/>
    <mergeCell ref="W4:X4"/>
    <mergeCell ref="AB4:AC4"/>
    <mergeCell ref="X5:Z5"/>
    <mergeCell ref="AC5:AE5"/>
    <mergeCell ref="V3:Z3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5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Reserves</vt:lpstr>
      <vt:lpstr>Summary</vt:lpstr>
      <vt:lpstr>Communal Management Costs</vt:lpstr>
      <vt:lpstr>Leisure Suite</vt:lpstr>
      <vt:lpstr>Insurance</vt:lpstr>
      <vt:lpstr>Alexandra</vt:lpstr>
      <vt:lpstr>Cliffe</vt:lpstr>
      <vt:lpstr>Alexandra Building</vt:lpstr>
      <vt:lpstr>Edward</vt:lpstr>
      <vt:lpstr>Kingswood</vt:lpstr>
      <vt:lpstr>Muxlow </vt:lpstr>
      <vt:lpstr>Peveril</vt:lpstr>
      <vt:lpstr>Sheaf 1</vt:lpstr>
      <vt:lpstr>Sheaf 2</vt:lpstr>
      <vt:lpstr>Sheaf 3 Apts</vt:lpstr>
      <vt:lpstr>Sheaf 3 Building</vt:lpstr>
      <vt:lpstr>Victoria</vt:lpstr>
      <vt:lpstr>Alexandra!Print_Area</vt:lpstr>
      <vt:lpstr>'Alexandra Building'!Print_Area</vt:lpstr>
      <vt:lpstr>Cliffe!Print_Area</vt:lpstr>
      <vt:lpstr>'Communal Management Costs'!Print_Area</vt:lpstr>
      <vt:lpstr>Edward!Print_Area</vt:lpstr>
      <vt:lpstr>Insurance!Print_Area</vt:lpstr>
      <vt:lpstr>'Leisure Suite'!Print_Area</vt:lpstr>
      <vt:lpstr>'Muxlow '!Print_Area</vt:lpstr>
      <vt:lpstr>Reserves!Print_Area</vt:lpstr>
      <vt:lpstr>Summary!Print_Area</vt:lpstr>
      <vt:lpstr>Alexandra!Print_Titles</vt:lpstr>
    </vt:vector>
  </TitlesOfParts>
  <Company>Mainstay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stuartbu</dc:creator>
  <cp:lastModifiedBy>Accounts</cp:lastModifiedBy>
  <cp:lastPrinted>2020-12-16T11:29:11Z</cp:lastPrinted>
  <dcterms:created xsi:type="dcterms:W3CDTF">2011-06-09T15:13:02Z</dcterms:created>
  <dcterms:modified xsi:type="dcterms:W3CDTF">2020-12-16T12:48:18Z</dcterms:modified>
</cp:coreProperties>
</file>