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cey Baker\Desktop\Budget\"/>
    </mc:Choice>
  </mc:AlternateContent>
  <xr:revisionPtr revIDLastSave="0" documentId="8_{B650AD25-2832-4F45-9616-F0E1E9A780F7}" xr6:coauthVersionLast="45" xr6:coauthVersionMax="45" xr10:uidLastSave="{00000000-0000-0000-0000-000000000000}"/>
  <bookViews>
    <workbookView xWindow="-120" yWindow="-120" windowWidth="29040" windowHeight="15840" tabRatio="952" firstSheet="4" activeTab="7" xr2:uid="{00000000-000D-0000-FFFF-FFFF00000000}"/>
  </bookViews>
  <sheets>
    <sheet name="Reserves" sheetId="22" r:id="rId1"/>
    <sheet name="Summary" sheetId="19" r:id="rId2"/>
    <sheet name="Communal Management Costs" sheetId="20" r:id="rId3"/>
    <sheet name="Leisure Suite" sheetId="6" r:id="rId4"/>
    <sheet name="Insurance" sheetId="8" r:id="rId5"/>
    <sheet name="Alexandra" sheetId="1" r:id="rId6"/>
    <sheet name="Alexandra Building" sheetId="2" r:id="rId7"/>
    <sheet name="Cliffe" sheetId="3" r:id="rId8"/>
    <sheet name="Edward" sheetId="4" r:id="rId9"/>
    <sheet name="Kingswood" sheetId="9" r:id="rId10"/>
    <sheet name="Muxlow " sheetId="21" r:id="rId11"/>
    <sheet name="Peveril" sheetId="11" r:id="rId12"/>
    <sheet name="Sheaf 1" sheetId="12" r:id="rId13"/>
    <sheet name="Sheaf 2" sheetId="13" r:id="rId14"/>
    <sheet name="Sheaf 3 Apts" sheetId="15" r:id="rId15"/>
    <sheet name="Sheaf 3 Building" sheetId="14" r:id="rId16"/>
    <sheet name="Victoria" sheetId="16" r:id="rId17"/>
  </sheets>
  <definedNames>
    <definedName name="_xlnm.Print_Titles" localSheetId="5">Alexandra!$1:$2</definedName>
    <definedName name="_xlnm.Print_Titles" localSheetId="3">'Leisure Suite'!#REF!</definedName>
    <definedName name="_xlnm.Print_Titles" localSheetId="1">Summary!#REF!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8" l="1"/>
  <c r="M18" i="22" l="1"/>
  <c r="M17" i="22"/>
  <c r="M16" i="22"/>
  <c r="M15" i="22"/>
  <c r="M14" i="22"/>
  <c r="M13" i="22"/>
  <c r="M12" i="22"/>
  <c r="M11" i="22"/>
  <c r="M10" i="22"/>
  <c r="M9" i="22"/>
  <c r="M8" i="22"/>
  <c r="M7" i="22"/>
  <c r="M6" i="22"/>
  <c r="M5" i="22"/>
  <c r="L19" i="22"/>
  <c r="M20" i="22" l="1"/>
  <c r="D53" i="16"/>
  <c r="D101" i="22" s="1"/>
  <c r="C53" i="16"/>
  <c r="D31" i="14"/>
  <c r="D96" i="22" s="1"/>
  <c r="C31" i="14"/>
  <c r="D45" i="15"/>
  <c r="D91" i="22" s="1"/>
  <c r="C45" i="15"/>
  <c r="D63" i="13"/>
  <c r="D86" i="22" s="1"/>
  <c r="C63" i="13"/>
  <c r="D49" i="12"/>
  <c r="D81" i="22" s="1"/>
  <c r="C49" i="12"/>
  <c r="D53" i="11"/>
  <c r="D76" i="22" s="1"/>
  <c r="C53" i="11"/>
  <c r="D51" i="21"/>
  <c r="D71" i="22" s="1"/>
  <c r="C51" i="21"/>
  <c r="D59" i="9"/>
  <c r="D66" i="22" s="1"/>
  <c r="C59" i="9"/>
  <c r="D45" i="4"/>
  <c r="D61" i="22" s="1"/>
  <c r="C45" i="4"/>
  <c r="D45" i="3"/>
  <c r="D56" i="22" s="1"/>
  <c r="C45" i="3"/>
  <c r="D29" i="2"/>
  <c r="D51" i="22" s="1"/>
  <c r="C29" i="2"/>
  <c r="D51" i="1"/>
  <c r="D46" i="22" s="1"/>
  <c r="C51" i="1"/>
  <c r="D84" i="6"/>
  <c r="D41" i="22" s="1"/>
  <c r="C84" i="6"/>
  <c r="M7" i="19" l="1"/>
  <c r="M23" i="19" s="1"/>
  <c r="H25" i="16" l="1"/>
  <c r="J25" i="16" s="1"/>
  <c r="I23" i="16"/>
  <c r="H20" i="16"/>
  <c r="J20" i="16" s="1"/>
  <c r="I13" i="16"/>
  <c r="I27" i="16" s="1"/>
  <c r="I31" i="16" s="1"/>
  <c r="J21" i="19" s="1"/>
  <c r="H10" i="16"/>
  <c r="J10" i="16" s="1"/>
  <c r="H8" i="16"/>
  <c r="J8" i="16" s="1"/>
  <c r="I11" i="14"/>
  <c r="I15" i="14" s="1"/>
  <c r="J20" i="19" s="1"/>
  <c r="H9" i="14"/>
  <c r="J9" i="14" s="1"/>
  <c r="H8" i="14"/>
  <c r="I23" i="15"/>
  <c r="I13" i="15"/>
  <c r="H8" i="15"/>
  <c r="J8" i="15" s="1"/>
  <c r="H34" i="13"/>
  <c r="J34" i="13" s="1"/>
  <c r="I32" i="13"/>
  <c r="H30" i="13"/>
  <c r="J30" i="13" s="1"/>
  <c r="H28" i="13"/>
  <c r="J28" i="13" s="1"/>
  <c r="I25" i="13"/>
  <c r="H22" i="13"/>
  <c r="J22" i="13" s="1"/>
  <c r="H21" i="13"/>
  <c r="J21" i="13" s="1"/>
  <c r="I13" i="13"/>
  <c r="H8" i="13"/>
  <c r="J8" i="13" s="1"/>
  <c r="H27" i="12"/>
  <c r="J27" i="12" s="1"/>
  <c r="I25" i="12"/>
  <c r="H21" i="12"/>
  <c r="J21" i="12" s="1"/>
  <c r="H16" i="12"/>
  <c r="J16" i="12" s="1"/>
  <c r="I13" i="12"/>
  <c r="H8" i="12"/>
  <c r="J8" i="12" s="1"/>
  <c r="H25" i="11"/>
  <c r="J25" i="11" s="1"/>
  <c r="I23" i="11"/>
  <c r="H21" i="11"/>
  <c r="J21" i="11" s="1"/>
  <c r="I13" i="11"/>
  <c r="H8" i="11"/>
  <c r="J8" i="11" s="1"/>
  <c r="H25" i="21"/>
  <c r="J25" i="21" s="1"/>
  <c r="I23" i="21"/>
  <c r="H20" i="21"/>
  <c r="J20" i="21" s="1"/>
  <c r="I13" i="21"/>
  <c r="H8" i="21"/>
  <c r="J8" i="21" s="1"/>
  <c r="H29" i="9"/>
  <c r="I27" i="9"/>
  <c r="H24" i="9"/>
  <c r="J24" i="9" s="1"/>
  <c r="H23" i="9"/>
  <c r="J23" i="9" s="1"/>
  <c r="H22" i="9"/>
  <c r="J22" i="9" s="1"/>
  <c r="H21" i="9"/>
  <c r="J21" i="9" s="1"/>
  <c r="H19" i="9"/>
  <c r="J19" i="9" s="1"/>
  <c r="I13" i="9"/>
  <c r="H8" i="9"/>
  <c r="H24" i="4"/>
  <c r="J24" i="4" s="1"/>
  <c r="I22" i="4"/>
  <c r="I13" i="4"/>
  <c r="H8" i="4"/>
  <c r="J8" i="4" s="1"/>
  <c r="H24" i="3"/>
  <c r="J24" i="3" s="1"/>
  <c r="I22" i="3"/>
  <c r="I13" i="3"/>
  <c r="H8" i="3"/>
  <c r="I10" i="2"/>
  <c r="I14" i="2" s="1"/>
  <c r="J11" i="19" s="1"/>
  <c r="H8" i="2"/>
  <c r="J8" i="2" s="1"/>
  <c r="H7" i="2"/>
  <c r="I22" i="1"/>
  <c r="I13" i="1"/>
  <c r="J11" i="1"/>
  <c r="H8" i="1"/>
  <c r="J8" i="1" s="1"/>
  <c r="I15" i="8"/>
  <c r="J9" i="19" s="1"/>
  <c r="H12" i="8"/>
  <c r="J12" i="8" s="1"/>
  <c r="H11" i="8"/>
  <c r="J11" i="8" s="1"/>
  <c r="H10" i="8"/>
  <c r="J10" i="8" s="1"/>
  <c r="H9" i="8"/>
  <c r="J9" i="8" s="1"/>
  <c r="H8" i="8"/>
  <c r="J8" i="8" s="1"/>
  <c r="I63" i="6"/>
  <c r="I57" i="6"/>
  <c r="I44" i="6"/>
  <c r="I33" i="6"/>
  <c r="I26" i="6"/>
  <c r="I14" i="6"/>
  <c r="H60" i="6"/>
  <c r="H54" i="6"/>
  <c r="J54" i="6" s="1"/>
  <c r="H52" i="6"/>
  <c r="J52" i="6" s="1"/>
  <c r="H47" i="6"/>
  <c r="J47" i="6" s="1"/>
  <c r="H42" i="6"/>
  <c r="J42" i="6" s="1"/>
  <c r="H41" i="6"/>
  <c r="J41" i="6" s="1"/>
  <c r="H40" i="6"/>
  <c r="J40" i="6" s="1"/>
  <c r="H39" i="6"/>
  <c r="J39" i="6" s="1"/>
  <c r="H38" i="6"/>
  <c r="J38" i="6" s="1"/>
  <c r="H36" i="6"/>
  <c r="J36" i="6" s="1"/>
  <c r="H31" i="6"/>
  <c r="J31" i="6" s="1"/>
  <c r="H30" i="6"/>
  <c r="H29" i="6"/>
  <c r="J29" i="6" s="1"/>
  <c r="H23" i="6"/>
  <c r="J23" i="6" s="1"/>
  <c r="H22" i="6"/>
  <c r="J22" i="6" s="1"/>
  <c r="H21" i="6"/>
  <c r="J21" i="6" s="1"/>
  <c r="H20" i="6"/>
  <c r="J20" i="6" s="1"/>
  <c r="H18" i="6"/>
  <c r="H12" i="6"/>
  <c r="J12" i="6" s="1"/>
  <c r="H8" i="6"/>
  <c r="H70" i="20"/>
  <c r="J70" i="20" s="1"/>
  <c r="H69" i="20"/>
  <c r="J69" i="20" s="1"/>
  <c r="H68" i="20"/>
  <c r="J68" i="20" s="1"/>
  <c r="H67" i="20"/>
  <c r="J67" i="20" s="1"/>
  <c r="H66" i="20"/>
  <c r="J66" i="20" s="1"/>
  <c r="H65" i="20"/>
  <c r="J65" i="20" s="1"/>
  <c r="H64" i="20"/>
  <c r="J64" i="20" s="1"/>
  <c r="H63" i="20"/>
  <c r="H58" i="20"/>
  <c r="J58" i="20" s="1"/>
  <c r="H57" i="20"/>
  <c r="J57" i="20" s="1"/>
  <c r="H56" i="20"/>
  <c r="J56" i="20" s="1"/>
  <c r="H55" i="20"/>
  <c r="J55" i="20" s="1"/>
  <c r="H54" i="20"/>
  <c r="J54" i="20" s="1"/>
  <c r="H53" i="20"/>
  <c r="J53" i="20" s="1"/>
  <c r="H52" i="20"/>
  <c r="J52" i="20" s="1"/>
  <c r="H51" i="20"/>
  <c r="H46" i="20"/>
  <c r="J46" i="20" s="1"/>
  <c r="H45" i="20"/>
  <c r="J45" i="20" s="1"/>
  <c r="H44" i="20"/>
  <c r="J44" i="20" s="1"/>
  <c r="H43" i="20"/>
  <c r="J43" i="20" s="1"/>
  <c r="H42" i="20"/>
  <c r="J42" i="20" s="1"/>
  <c r="H41" i="20"/>
  <c r="J41" i="20" s="1"/>
  <c r="H35" i="20"/>
  <c r="J35" i="20" s="1"/>
  <c r="H34" i="20"/>
  <c r="J34" i="20" s="1"/>
  <c r="H33" i="20"/>
  <c r="J33" i="20" s="1"/>
  <c r="H32" i="20"/>
  <c r="J32" i="20" s="1"/>
  <c r="H27" i="20"/>
  <c r="J27" i="20" s="1"/>
  <c r="H24" i="20"/>
  <c r="J24" i="20" s="1"/>
  <c r="H23" i="20"/>
  <c r="J23" i="20" s="1"/>
  <c r="H22" i="20"/>
  <c r="J22" i="20" s="1"/>
  <c r="H21" i="20"/>
  <c r="J21" i="20" s="1"/>
  <c r="H20" i="20"/>
  <c r="J20" i="20" s="1"/>
  <c r="H19" i="20"/>
  <c r="J19" i="20" s="1"/>
  <c r="H13" i="20"/>
  <c r="J13" i="20" s="1"/>
  <c r="H12" i="20"/>
  <c r="J12" i="20" s="1"/>
  <c r="H11" i="20"/>
  <c r="J11" i="20" s="1"/>
  <c r="H10" i="20"/>
  <c r="J10" i="20" s="1"/>
  <c r="H9" i="20"/>
  <c r="H8" i="20"/>
  <c r="J8" i="20" s="1"/>
  <c r="I72" i="20"/>
  <c r="I60" i="20"/>
  <c r="I48" i="20"/>
  <c r="I37" i="20"/>
  <c r="I29" i="20"/>
  <c r="I16" i="20"/>
  <c r="H10" i="2" l="1"/>
  <c r="I25" i="15"/>
  <c r="I29" i="15" s="1"/>
  <c r="J19" i="19" s="1"/>
  <c r="I27" i="11"/>
  <c r="I31" i="11" s="1"/>
  <c r="J16" i="19" s="1"/>
  <c r="I31" i="9"/>
  <c r="I35" i="9" s="1"/>
  <c r="J14" i="19" s="1"/>
  <c r="I36" i="13"/>
  <c r="I40" i="13" s="1"/>
  <c r="J18" i="19" s="1"/>
  <c r="H11" i="14"/>
  <c r="H16" i="20"/>
  <c r="H60" i="20"/>
  <c r="H72" i="20"/>
  <c r="J8" i="14"/>
  <c r="J11" i="14" s="1"/>
  <c r="I29" i="12"/>
  <c r="I33" i="12" s="1"/>
  <c r="J17" i="19" s="1"/>
  <c r="I27" i="21"/>
  <c r="I31" i="21" s="1"/>
  <c r="J15" i="19" s="1"/>
  <c r="J8" i="9"/>
  <c r="I26" i="4"/>
  <c r="I30" i="4" s="1"/>
  <c r="J13" i="19" s="1"/>
  <c r="I26" i="3"/>
  <c r="I30" i="3" s="1"/>
  <c r="J12" i="19" s="1"/>
  <c r="J8" i="3"/>
  <c r="J7" i="2"/>
  <c r="J10" i="2" s="1"/>
  <c r="I24" i="1"/>
  <c r="I28" i="1" s="1"/>
  <c r="J10" i="19" s="1"/>
  <c r="J37" i="20"/>
  <c r="H37" i="20"/>
  <c r="J60" i="6"/>
  <c r="I74" i="20"/>
  <c r="I78" i="20" s="1"/>
  <c r="J7" i="19" s="1"/>
  <c r="J9" i="20"/>
  <c r="J16" i="20" s="1"/>
  <c r="H33" i="6"/>
  <c r="J30" i="6"/>
  <c r="J33" i="6" s="1"/>
  <c r="I65" i="6"/>
  <c r="I69" i="6" s="1"/>
  <c r="J8" i="19" s="1"/>
  <c r="J8" i="6"/>
  <c r="J51" i="20"/>
  <c r="J60" i="20" s="1"/>
  <c r="J63" i="20"/>
  <c r="J72" i="20" s="1"/>
  <c r="J18" i="6"/>
  <c r="D25" i="16"/>
  <c r="C25" i="16" s="1"/>
  <c r="D8" i="14"/>
  <c r="C8" i="14" s="1"/>
  <c r="D34" i="13"/>
  <c r="C34" i="13" s="1"/>
  <c r="D27" i="12"/>
  <c r="C27" i="12" s="1"/>
  <c r="D25" i="11"/>
  <c r="C25" i="11" s="1"/>
  <c r="D25" i="21"/>
  <c r="D29" i="9"/>
  <c r="C29" i="9" s="1"/>
  <c r="D24" i="4"/>
  <c r="C24" i="4" s="1"/>
  <c r="D7" i="2"/>
  <c r="D10" i="2" s="1"/>
  <c r="D24" i="3"/>
  <c r="C24" i="3" s="1"/>
  <c r="C10" i="8"/>
  <c r="C9" i="8"/>
  <c r="D32" i="13"/>
  <c r="D63" i="6"/>
  <c r="D33" i="6"/>
  <c r="D72" i="20"/>
  <c r="D60" i="20"/>
  <c r="D37" i="20"/>
  <c r="D16" i="20"/>
  <c r="C17" i="8"/>
  <c r="F24" i="8"/>
  <c r="C12" i="8"/>
  <c r="C11" i="8"/>
  <c r="C8" i="8"/>
  <c r="C8" i="1"/>
  <c r="C8" i="2"/>
  <c r="C8" i="3"/>
  <c r="C8" i="4"/>
  <c r="C24" i="9"/>
  <c r="C23" i="9"/>
  <c r="C22" i="9"/>
  <c r="C21" i="9"/>
  <c r="C19" i="9"/>
  <c r="C8" i="9"/>
  <c r="C21" i="11"/>
  <c r="C8" i="11"/>
  <c r="C25" i="21"/>
  <c r="C20" i="21"/>
  <c r="C8" i="21"/>
  <c r="C21" i="12"/>
  <c r="C16" i="12"/>
  <c r="C8" i="12"/>
  <c r="C30" i="13"/>
  <c r="C28" i="13"/>
  <c r="C22" i="13"/>
  <c r="C21" i="13"/>
  <c r="C8" i="13"/>
  <c r="C8" i="15"/>
  <c r="C9" i="14"/>
  <c r="C20" i="16"/>
  <c r="C10" i="16"/>
  <c r="C8" i="16"/>
  <c r="C60" i="6"/>
  <c r="C54" i="6"/>
  <c r="C52" i="6"/>
  <c r="C47" i="6"/>
  <c r="C42" i="6"/>
  <c r="C41" i="6"/>
  <c r="C40" i="6"/>
  <c r="C39" i="6"/>
  <c r="C38" i="6"/>
  <c r="C36" i="6"/>
  <c r="C31" i="6"/>
  <c r="C30" i="6"/>
  <c r="C29" i="6"/>
  <c r="C23" i="6"/>
  <c r="C22" i="6"/>
  <c r="C21" i="6"/>
  <c r="C20" i="6"/>
  <c r="C18" i="6"/>
  <c r="C12" i="6"/>
  <c r="C8" i="6"/>
  <c r="C70" i="20"/>
  <c r="C69" i="20"/>
  <c r="C68" i="20"/>
  <c r="C67" i="20"/>
  <c r="C66" i="20"/>
  <c r="C65" i="20"/>
  <c r="C64" i="20"/>
  <c r="C63" i="20"/>
  <c r="C58" i="20"/>
  <c r="C57" i="20"/>
  <c r="C56" i="20"/>
  <c r="C55" i="20"/>
  <c r="C54" i="20"/>
  <c r="C53" i="20"/>
  <c r="C52" i="20"/>
  <c r="C51" i="20"/>
  <c r="C46" i="20"/>
  <c r="C45" i="20"/>
  <c r="C44" i="20"/>
  <c r="C43" i="20"/>
  <c r="C42" i="20"/>
  <c r="C41" i="20"/>
  <c r="C35" i="20"/>
  <c r="C34" i="20"/>
  <c r="C33" i="20"/>
  <c r="C32" i="20"/>
  <c r="C27" i="20"/>
  <c r="C24" i="20"/>
  <c r="C23" i="20"/>
  <c r="C22" i="20"/>
  <c r="C21" i="20"/>
  <c r="C20" i="20"/>
  <c r="C19" i="20"/>
  <c r="C13" i="20"/>
  <c r="C12" i="20"/>
  <c r="C11" i="20"/>
  <c r="C10" i="20"/>
  <c r="C9" i="20"/>
  <c r="C8" i="20"/>
  <c r="D11" i="14" l="1"/>
  <c r="C7" i="2"/>
  <c r="C10" i="2" s="1"/>
  <c r="C33" i="6"/>
  <c r="D9" i="19"/>
  <c r="C60" i="20"/>
  <c r="C72" i="20"/>
  <c r="C11" i="14"/>
  <c r="C37" i="20"/>
  <c r="C16" i="20"/>
  <c r="F56" i="20"/>
  <c r="L56" i="20"/>
  <c r="N56" i="20"/>
  <c r="P56" i="20" s="1"/>
  <c r="S56" i="20"/>
  <c r="U56" i="20" s="1"/>
  <c r="G11" i="4" l="1"/>
  <c r="C11" i="4" l="1"/>
  <c r="H11" i="4"/>
  <c r="J11" i="4" s="1"/>
  <c r="R16" i="20"/>
  <c r="R29" i="20"/>
  <c r="R37" i="20"/>
  <c r="R48" i="20"/>
  <c r="R60" i="20"/>
  <c r="R72" i="20"/>
  <c r="R14" i="6"/>
  <c r="R26" i="6"/>
  <c r="R33" i="6"/>
  <c r="R44" i="6"/>
  <c r="R57" i="6"/>
  <c r="R63" i="6"/>
  <c r="R15" i="8"/>
  <c r="T9" i="19" s="1"/>
  <c r="R13" i="1"/>
  <c r="R22" i="1"/>
  <c r="R10" i="2"/>
  <c r="R14" i="2" s="1"/>
  <c r="T11" i="19" s="1"/>
  <c r="R13" i="3"/>
  <c r="R22" i="3"/>
  <c r="R13" i="4"/>
  <c r="R22" i="4"/>
  <c r="R13" i="9"/>
  <c r="R27" i="9"/>
  <c r="R13" i="21"/>
  <c r="R23" i="21"/>
  <c r="R13" i="11"/>
  <c r="R23" i="11"/>
  <c r="R13" i="12"/>
  <c r="R25" i="12"/>
  <c r="R13" i="13"/>
  <c r="R25" i="13"/>
  <c r="R32" i="13"/>
  <c r="R13" i="15"/>
  <c r="R23" i="15"/>
  <c r="R11" i="14"/>
  <c r="R15" i="14" s="1"/>
  <c r="T20" i="19" s="1"/>
  <c r="R13" i="16"/>
  <c r="R23" i="16"/>
  <c r="G16" i="20"/>
  <c r="C80" i="20"/>
  <c r="G25" i="20" s="1"/>
  <c r="H25" i="20" s="1"/>
  <c r="G37" i="20"/>
  <c r="G60" i="20"/>
  <c r="G72" i="20"/>
  <c r="F5" i="22"/>
  <c r="H76" i="20"/>
  <c r="J76" i="20" s="1"/>
  <c r="C71" i="6"/>
  <c r="G9" i="6" s="1"/>
  <c r="H9" i="6" s="1"/>
  <c r="G17" i="6"/>
  <c r="G33" i="6"/>
  <c r="X2" i="22"/>
  <c r="W20" i="22"/>
  <c r="F6" i="22"/>
  <c r="D67" i="6" s="1"/>
  <c r="G13" i="8"/>
  <c r="C30" i="1"/>
  <c r="G9" i="1" s="1"/>
  <c r="H9" i="1" s="1"/>
  <c r="G11" i="1"/>
  <c r="C11" i="1" s="1"/>
  <c r="F7" i="22"/>
  <c r="D26" i="1" s="1"/>
  <c r="F26" i="1"/>
  <c r="G10" i="2"/>
  <c r="F8" i="22"/>
  <c r="D12" i="2" s="1"/>
  <c r="C32" i="3"/>
  <c r="G10" i="3" s="1"/>
  <c r="G11" i="3"/>
  <c r="F9" i="22"/>
  <c r="D28" i="3" s="1"/>
  <c r="C32" i="4"/>
  <c r="G16" i="4" s="1"/>
  <c r="F10" i="22"/>
  <c r="D28" i="4" s="1"/>
  <c r="H28" i="4"/>
  <c r="J28" i="4" s="1"/>
  <c r="C37" i="9"/>
  <c r="G10" i="9" s="1"/>
  <c r="G11" i="9"/>
  <c r="F11" i="22"/>
  <c r="D33" i="9" s="1"/>
  <c r="H33" i="9"/>
  <c r="C33" i="21"/>
  <c r="G19" i="21" s="1"/>
  <c r="G11" i="21"/>
  <c r="F12" i="22"/>
  <c r="D29" i="21" s="1"/>
  <c r="C33" i="11"/>
  <c r="G9" i="11" s="1"/>
  <c r="H9" i="11" s="1"/>
  <c r="G11" i="11"/>
  <c r="F13" i="22"/>
  <c r="D29" i="11" s="1"/>
  <c r="C35" i="12"/>
  <c r="G20" i="12" s="1"/>
  <c r="G11" i="12"/>
  <c r="F14" i="22"/>
  <c r="D31" i="12" s="1"/>
  <c r="C42" i="13"/>
  <c r="G10" i="13" s="1"/>
  <c r="G11" i="13"/>
  <c r="F15" i="22"/>
  <c r="D38" i="13" s="1"/>
  <c r="H38" i="13"/>
  <c r="J38" i="13" s="1"/>
  <c r="C31" i="15"/>
  <c r="G10" i="15" s="1"/>
  <c r="H10" i="15" s="1"/>
  <c r="J10" i="15" s="1"/>
  <c r="G11" i="15"/>
  <c r="F16" i="22"/>
  <c r="D27" i="15" s="1"/>
  <c r="G11" i="14"/>
  <c r="F17" i="22"/>
  <c r="D13" i="14" s="1"/>
  <c r="C33" i="16"/>
  <c r="G16" i="16" s="1"/>
  <c r="H16" i="16" s="1"/>
  <c r="J16" i="16" s="1"/>
  <c r="G11" i="16"/>
  <c r="F11" i="16" s="1"/>
  <c r="F18" i="22"/>
  <c r="D29" i="16" s="1"/>
  <c r="M16" i="20"/>
  <c r="M29" i="20"/>
  <c r="M37" i="20"/>
  <c r="M48" i="20"/>
  <c r="M60" i="20"/>
  <c r="M72" i="20"/>
  <c r="M14" i="6"/>
  <c r="M26" i="6"/>
  <c r="M33" i="6"/>
  <c r="M44" i="6"/>
  <c r="M57" i="6"/>
  <c r="M63" i="6"/>
  <c r="M15" i="8"/>
  <c r="O9" i="19" s="1"/>
  <c r="M13" i="1"/>
  <c r="M22" i="1"/>
  <c r="M10" i="2"/>
  <c r="M14" i="2" s="1"/>
  <c r="O11" i="19" s="1"/>
  <c r="M13" i="3"/>
  <c r="M22" i="3"/>
  <c r="M13" i="4"/>
  <c r="M22" i="4"/>
  <c r="M13" i="9"/>
  <c r="M27" i="9"/>
  <c r="M13" i="21"/>
  <c r="M23" i="21"/>
  <c r="M13" i="11"/>
  <c r="M23" i="11"/>
  <c r="M13" i="12"/>
  <c r="M25" i="12"/>
  <c r="M13" i="13"/>
  <c r="M25" i="13"/>
  <c r="M32" i="13"/>
  <c r="M13" i="15"/>
  <c r="M23" i="15"/>
  <c r="M11" i="14"/>
  <c r="M15" i="14" s="1"/>
  <c r="O20" i="19" s="1"/>
  <c r="M13" i="16"/>
  <c r="M23" i="16"/>
  <c r="C20" i="22"/>
  <c r="B18" i="22"/>
  <c r="T18" i="22" s="1"/>
  <c r="B17" i="22"/>
  <c r="U17" i="22" s="1"/>
  <c r="B16" i="22"/>
  <c r="B15" i="22"/>
  <c r="J15" i="22" s="1"/>
  <c r="B14" i="22"/>
  <c r="U14" i="22" s="1"/>
  <c r="B13" i="22"/>
  <c r="U13" i="22" s="1"/>
  <c r="B12" i="22"/>
  <c r="U12" i="22" s="1"/>
  <c r="B11" i="22"/>
  <c r="U11" i="22" s="1"/>
  <c r="B10" i="22"/>
  <c r="J10" i="22" s="1"/>
  <c r="B9" i="22"/>
  <c r="U9" i="22" s="1"/>
  <c r="B8" i="22"/>
  <c r="U8" i="22" s="1"/>
  <c r="B7" i="22"/>
  <c r="J7" i="22" s="1"/>
  <c r="F44" i="20"/>
  <c r="S44" i="20"/>
  <c r="U44" i="20" s="1"/>
  <c r="N44" i="20"/>
  <c r="P44" i="20" s="1"/>
  <c r="L44" i="20"/>
  <c r="K20" i="22"/>
  <c r="L18" i="22"/>
  <c r="N18" i="22" s="1"/>
  <c r="F99" i="22" s="1"/>
  <c r="F100" i="22" s="1"/>
  <c r="F101" i="22" s="1"/>
  <c r="L17" i="22"/>
  <c r="N17" i="22" s="1"/>
  <c r="F94" i="22" s="1"/>
  <c r="F95" i="22" s="1"/>
  <c r="F96" i="22" s="1"/>
  <c r="L16" i="22"/>
  <c r="N16" i="22" s="1"/>
  <c r="F89" i="22" s="1"/>
  <c r="F90" i="22" s="1"/>
  <c r="F91" i="22" s="1"/>
  <c r="L15" i="22"/>
  <c r="L14" i="22"/>
  <c r="L13" i="22"/>
  <c r="N13" i="22" s="1"/>
  <c r="F74" i="22" s="1"/>
  <c r="F75" i="22" s="1"/>
  <c r="F76" i="22" s="1"/>
  <c r="L12" i="22"/>
  <c r="N12" i="22" s="1"/>
  <c r="L11" i="22"/>
  <c r="L10" i="22"/>
  <c r="N10" i="22" s="1"/>
  <c r="F59" i="22" s="1"/>
  <c r="F60" i="22" s="1"/>
  <c r="F61" i="22" s="1"/>
  <c r="L9" i="22"/>
  <c r="N9" i="22" s="1"/>
  <c r="F54" i="22" s="1"/>
  <c r="F55" i="22" s="1"/>
  <c r="F56" i="22" s="1"/>
  <c r="L8" i="22"/>
  <c r="L7" i="22"/>
  <c r="N7" i="22" s="1"/>
  <c r="L6" i="22"/>
  <c r="N6" i="22" s="1"/>
  <c r="L5" i="22"/>
  <c r="N5" i="22" s="1"/>
  <c r="S17" i="22"/>
  <c r="S15" i="22"/>
  <c r="S14" i="22"/>
  <c r="S13" i="22"/>
  <c r="S12" i="22"/>
  <c r="S11" i="22"/>
  <c r="S10" i="22"/>
  <c r="S9" i="22"/>
  <c r="S8" i="22"/>
  <c r="I20" i="22"/>
  <c r="J6" i="22"/>
  <c r="J5" i="22"/>
  <c r="F10" i="8"/>
  <c r="S13" i="8"/>
  <c r="U13" i="8" s="1"/>
  <c r="S12" i="8"/>
  <c r="U12" i="8" s="1"/>
  <c r="S11" i="8"/>
  <c r="U11" i="8" s="1"/>
  <c r="S10" i="8"/>
  <c r="U10" i="8" s="1"/>
  <c r="S9" i="8"/>
  <c r="U9" i="8" s="1"/>
  <c r="N13" i="8"/>
  <c r="P13" i="8" s="1"/>
  <c r="L13" i="8"/>
  <c r="N12" i="8"/>
  <c r="P12" i="8" s="1"/>
  <c r="L12" i="8"/>
  <c r="F12" i="8"/>
  <c r="N11" i="8"/>
  <c r="P11" i="8" s="1"/>
  <c r="L11" i="8"/>
  <c r="F11" i="8"/>
  <c r="N10" i="8"/>
  <c r="P10" i="8" s="1"/>
  <c r="L10" i="8"/>
  <c r="N9" i="8"/>
  <c r="P9" i="8" s="1"/>
  <c r="L9" i="8"/>
  <c r="T15" i="8"/>
  <c r="V9" i="19" s="1"/>
  <c r="O15" i="8"/>
  <c r="Q9" i="19" s="1"/>
  <c r="S8" i="8"/>
  <c r="U8" i="8" s="1"/>
  <c r="N8" i="8"/>
  <c r="L8" i="8"/>
  <c r="O63" i="6"/>
  <c r="T63" i="6"/>
  <c r="O57" i="6"/>
  <c r="T57" i="6"/>
  <c r="O44" i="6"/>
  <c r="T44" i="6"/>
  <c r="O33" i="6"/>
  <c r="T33" i="6"/>
  <c r="O26" i="6"/>
  <c r="T26" i="6"/>
  <c r="O14" i="6"/>
  <c r="T14" i="6"/>
  <c r="N67" i="6"/>
  <c r="P67" i="6" s="1"/>
  <c r="L67" i="6"/>
  <c r="N61" i="6"/>
  <c r="P61" i="6" s="1"/>
  <c r="L61" i="6"/>
  <c r="N60" i="6"/>
  <c r="P60" i="6" s="1"/>
  <c r="L60" i="6"/>
  <c r="F60" i="6"/>
  <c r="N55" i="6"/>
  <c r="P55" i="6" s="1"/>
  <c r="L55" i="6"/>
  <c r="N54" i="6"/>
  <c r="P54" i="6" s="1"/>
  <c r="L54" i="6"/>
  <c r="F54" i="6"/>
  <c r="N53" i="6"/>
  <c r="P53" i="6" s="1"/>
  <c r="L53" i="6"/>
  <c r="N52" i="6"/>
  <c r="P52" i="6" s="1"/>
  <c r="L52" i="6"/>
  <c r="F52" i="6"/>
  <c r="N51" i="6"/>
  <c r="P51" i="6" s="1"/>
  <c r="L51" i="6"/>
  <c r="N50" i="6"/>
  <c r="P50" i="6" s="1"/>
  <c r="L50" i="6"/>
  <c r="N49" i="6"/>
  <c r="P49" i="6" s="1"/>
  <c r="L49" i="6"/>
  <c r="N48" i="6"/>
  <c r="P48" i="6" s="1"/>
  <c r="L48" i="6"/>
  <c r="N47" i="6"/>
  <c r="P47" i="6" s="1"/>
  <c r="L47" i="6"/>
  <c r="F47" i="6"/>
  <c r="N42" i="6"/>
  <c r="P42" i="6" s="1"/>
  <c r="L42" i="6"/>
  <c r="F42" i="6"/>
  <c r="N41" i="6"/>
  <c r="P41" i="6" s="1"/>
  <c r="L41" i="6"/>
  <c r="F41" i="6"/>
  <c r="N40" i="6"/>
  <c r="P40" i="6" s="1"/>
  <c r="L40" i="6"/>
  <c r="F40" i="6"/>
  <c r="N39" i="6"/>
  <c r="P39" i="6" s="1"/>
  <c r="L39" i="6"/>
  <c r="F39" i="6"/>
  <c r="N38" i="6"/>
  <c r="P38" i="6" s="1"/>
  <c r="L38" i="6"/>
  <c r="F38" i="6"/>
  <c r="N37" i="6"/>
  <c r="P37" i="6" s="1"/>
  <c r="L37" i="6"/>
  <c r="N36" i="6"/>
  <c r="P36" i="6" s="1"/>
  <c r="L36" i="6"/>
  <c r="F36" i="6"/>
  <c r="N31" i="6"/>
  <c r="P31" i="6" s="1"/>
  <c r="L31" i="6"/>
  <c r="F31" i="6"/>
  <c r="N30" i="6"/>
  <c r="P30" i="6" s="1"/>
  <c r="L30" i="6"/>
  <c r="F30" i="6"/>
  <c r="N29" i="6"/>
  <c r="P29" i="6" s="1"/>
  <c r="L29" i="6"/>
  <c r="F29" i="6"/>
  <c r="N23" i="6"/>
  <c r="P23" i="6" s="1"/>
  <c r="L23" i="6"/>
  <c r="F23" i="6"/>
  <c r="N22" i="6"/>
  <c r="P22" i="6" s="1"/>
  <c r="L22" i="6"/>
  <c r="F22" i="6"/>
  <c r="N21" i="6"/>
  <c r="P21" i="6" s="1"/>
  <c r="L21" i="6"/>
  <c r="F21" i="6"/>
  <c r="N20" i="6"/>
  <c r="P20" i="6" s="1"/>
  <c r="L20" i="6"/>
  <c r="F20" i="6"/>
  <c r="N19" i="6"/>
  <c r="P19" i="6" s="1"/>
  <c r="L19" i="6"/>
  <c r="N18" i="6"/>
  <c r="P18" i="6" s="1"/>
  <c r="L18" i="6"/>
  <c r="F18" i="6"/>
  <c r="N17" i="6"/>
  <c r="P17" i="6" s="1"/>
  <c r="L17" i="6"/>
  <c r="F17" i="6"/>
  <c r="N12" i="6"/>
  <c r="P12" i="6" s="1"/>
  <c r="L12" i="6"/>
  <c r="F12" i="6"/>
  <c r="N11" i="6"/>
  <c r="P11" i="6" s="1"/>
  <c r="L11" i="6"/>
  <c r="N10" i="6"/>
  <c r="P10" i="6" s="1"/>
  <c r="L10" i="6"/>
  <c r="N9" i="6"/>
  <c r="P9" i="6" s="1"/>
  <c r="L9" i="6"/>
  <c r="N8" i="6"/>
  <c r="P8" i="6" s="1"/>
  <c r="L8" i="6"/>
  <c r="F8" i="6"/>
  <c r="S67" i="6"/>
  <c r="U67" i="6" s="1"/>
  <c r="S61" i="6"/>
  <c r="U61" i="6" s="1"/>
  <c r="S60" i="6"/>
  <c r="U60" i="6" s="1"/>
  <c r="S54" i="6"/>
  <c r="U54" i="6" s="1"/>
  <c r="S53" i="6"/>
  <c r="U53" i="6" s="1"/>
  <c r="S52" i="6"/>
  <c r="U52" i="6" s="1"/>
  <c r="S51" i="6"/>
  <c r="U51" i="6" s="1"/>
  <c r="S50" i="6"/>
  <c r="U50" i="6" s="1"/>
  <c r="S49" i="6"/>
  <c r="U49" i="6" s="1"/>
  <c r="S48" i="6"/>
  <c r="U48" i="6" s="1"/>
  <c r="S47" i="6"/>
  <c r="U47" i="6" s="1"/>
  <c r="S41" i="6"/>
  <c r="U41" i="6" s="1"/>
  <c r="S40" i="6"/>
  <c r="U40" i="6" s="1"/>
  <c r="S39" i="6"/>
  <c r="U39" i="6" s="1"/>
  <c r="S38" i="6"/>
  <c r="U38" i="6" s="1"/>
  <c r="S37" i="6"/>
  <c r="U37" i="6" s="1"/>
  <c r="S36" i="6"/>
  <c r="U36" i="6" s="1"/>
  <c r="S31" i="6"/>
  <c r="U31" i="6" s="1"/>
  <c r="S30" i="6"/>
  <c r="U30" i="6" s="1"/>
  <c r="S29" i="6"/>
  <c r="U29" i="6" s="1"/>
  <c r="S23" i="6"/>
  <c r="U23" i="6" s="1"/>
  <c r="S22" i="6"/>
  <c r="U22" i="6" s="1"/>
  <c r="S21" i="6"/>
  <c r="U21" i="6" s="1"/>
  <c r="S20" i="6"/>
  <c r="U20" i="6" s="1"/>
  <c r="S19" i="6"/>
  <c r="U19" i="6" s="1"/>
  <c r="S18" i="6"/>
  <c r="U18" i="6" s="1"/>
  <c r="S17" i="6"/>
  <c r="U17" i="6" s="1"/>
  <c r="S12" i="6"/>
  <c r="U12" i="6" s="1"/>
  <c r="S11" i="6"/>
  <c r="U11" i="6" s="1"/>
  <c r="S10" i="6"/>
  <c r="U10" i="6" s="1"/>
  <c r="S9" i="6"/>
  <c r="U9" i="6" s="1"/>
  <c r="S8" i="6"/>
  <c r="U8" i="6" s="1"/>
  <c r="S46" i="20"/>
  <c r="U46" i="20" s="1"/>
  <c r="N46" i="20"/>
  <c r="P46" i="20" s="1"/>
  <c r="L46" i="20"/>
  <c r="F46" i="20"/>
  <c r="S45" i="20"/>
  <c r="U45" i="20" s="1"/>
  <c r="N45" i="20"/>
  <c r="P45" i="20" s="1"/>
  <c r="L45" i="20"/>
  <c r="F45" i="20"/>
  <c r="S27" i="20"/>
  <c r="U27" i="20" s="1"/>
  <c r="N27" i="20"/>
  <c r="P27" i="20" s="1"/>
  <c r="L27" i="20"/>
  <c r="S76" i="20"/>
  <c r="U76" i="20" s="1"/>
  <c r="N76" i="20"/>
  <c r="P76" i="20" s="1"/>
  <c r="L76" i="20"/>
  <c r="O48" i="20"/>
  <c r="T48" i="20"/>
  <c r="O37" i="20"/>
  <c r="T37" i="20"/>
  <c r="O29" i="20"/>
  <c r="T29" i="20"/>
  <c r="S43" i="20"/>
  <c r="U43" i="20" s="1"/>
  <c r="S42" i="20"/>
  <c r="U42" i="20" s="1"/>
  <c r="S41" i="20"/>
  <c r="U41" i="20" s="1"/>
  <c r="S40" i="20"/>
  <c r="U40" i="20" s="1"/>
  <c r="S35" i="20"/>
  <c r="U35" i="20" s="1"/>
  <c r="S34" i="20"/>
  <c r="U34" i="20" s="1"/>
  <c r="S33" i="20"/>
  <c r="U33" i="20" s="1"/>
  <c r="S32" i="20"/>
  <c r="U32" i="20" s="1"/>
  <c r="S25" i="20"/>
  <c r="U25" i="20" s="1"/>
  <c r="S24" i="20"/>
  <c r="U24" i="20" s="1"/>
  <c r="S23" i="20"/>
  <c r="U23" i="20" s="1"/>
  <c r="S22" i="20"/>
  <c r="U22" i="20" s="1"/>
  <c r="S21" i="20"/>
  <c r="U21" i="20" s="1"/>
  <c r="S20" i="20"/>
  <c r="U20" i="20" s="1"/>
  <c r="S19" i="20"/>
  <c r="U19" i="20" s="1"/>
  <c r="N43" i="20"/>
  <c r="P43" i="20" s="1"/>
  <c r="N42" i="20"/>
  <c r="P42" i="20" s="1"/>
  <c r="N41" i="20"/>
  <c r="P41" i="20" s="1"/>
  <c r="N40" i="20"/>
  <c r="P40" i="20" s="1"/>
  <c r="N35" i="20"/>
  <c r="P35" i="20" s="1"/>
  <c r="N34" i="20"/>
  <c r="P34" i="20" s="1"/>
  <c r="N33" i="20"/>
  <c r="P33" i="20" s="1"/>
  <c r="N32" i="20"/>
  <c r="P32" i="20" s="1"/>
  <c r="N25" i="20"/>
  <c r="P25" i="20" s="1"/>
  <c r="N24" i="20"/>
  <c r="P24" i="20" s="1"/>
  <c r="N23" i="20"/>
  <c r="P23" i="20" s="1"/>
  <c r="N22" i="20"/>
  <c r="P22" i="20" s="1"/>
  <c r="N21" i="20"/>
  <c r="P21" i="20" s="1"/>
  <c r="N20" i="20"/>
  <c r="P20" i="20" s="1"/>
  <c r="N19" i="20"/>
  <c r="P19" i="20" s="1"/>
  <c r="L43" i="20"/>
  <c r="L42" i="20"/>
  <c r="L41" i="20"/>
  <c r="L40" i="20"/>
  <c r="L35" i="20"/>
  <c r="L34" i="20"/>
  <c r="L33" i="20"/>
  <c r="L32" i="20"/>
  <c r="L25" i="20"/>
  <c r="L24" i="20"/>
  <c r="L23" i="20"/>
  <c r="L22" i="20"/>
  <c r="L21" i="20"/>
  <c r="L20" i="20"/>
  <c r="L19" i="20"/>
  <c r="F43" i="20"/>
  <c r="F42" i="20"/>
  <c r="F41" i="20"/>
  <c r="F35" i="20"/>
  <c r="F34" i="20"/>
  <c r="F33" i="20"/>
  <c r="F32" i="20"/>
  <c r="F24" i="20"/>
  <c r="F23" i="20"/>
  <c r="F22" i="20"/>
  <c r="F21" i="20"/>
  <c r="F20" i="20"/>
  <c r="F19" i="20"/>
  <c r="N70" i="20"/>
  <c r="P70" i="20" s="1"/>
  <c r="N69" i="20"/>
  <c r="P69" i="20" s="1"/>
  <c r="N68" i="20"/>
  <c r="P68" i="20" s="1"/>
  <c r="N67" i="20"/>
  <c r="P67" i="20" s="1"/>
  <c r="N66" i="20"/>
  <c r="P66" i="20" s="1"/>
  <c r="N65" i="20"/>
  <c r="P65" i="20" s="1"/>
  <c r="N64" i="20"/>
  <c r="P64" i="20" s="1"/>
  <c r="N63" i="20"/>
  <c r="P63" i="20" s="1"/>
  <c r="N58" i="20"/>
  <c r="P58" i="20" s="1"/>
  <c r="N57" i="20"/>
  <c r="P57" i="20" s="1"/>
  <c r="N55" i="20"/>
  <c r="P55" i="20" s="1"/>
  <c r="N54" i="20"/>
  <c r="P54" i="20" s="1"/>
  <c r="N53" i="20"/>
  <c r="P53" i="20" s="1"/>
  <c r="N52" i="20"/>
  <c r="P52" i="20" s="1"/>
  <c r="N51" i="20"/>
  <c r="P51" i="20" s="1"/>
  <c r="N13" i="20"/>
  <c r="P13" i="20" s="1"/>
  <c r="N12" i="20"/>
  <c r="P12" i="20" s="1"/>
  <c r="N11" i="20"/>
  <c r="P11" i="20" s="1"/>
  <c r="N10" i="20"/>
  <c r="P10" i="20" s="1"/>
  <c r="N9" i="20"/>
  <c r="P9" i="20" s="1"/>
  <c r="N8" i="20"/>
  <c r="P8" i="20" s="1"/>
  <c r="O72" i="20"/>
  <c r="T72" i="20"/>
  <c r="O60" i="20"/>
  <c r="T60" i="20"/>
  <c r="O16" i="20"/>
  <c r="T16" i="20"/>
  <c r="S70" i="20"/>
  <c r="U70" i="20" s="1"/>
  <c r="S69" i="20"/>
  <c r="U69" i="20" s="1"/>
  <c r="S68" i="20"/>
  <c r="U68" i="20" s="1"/>
  <c r="S67" i="20"/>
  <c r="U67" i="20" s="1"/>
  <c r="S66" i="20"/>
  <c r="U66" i="20" s="1"/>
  <c r="S65" i="20"/>
  <c r="U65" i="20" s="1"/>
  <c r="S64" i="20"/>
  <c r="U64" i="20" s="1"/>
  <c r="S63" i="20"/>
  <c r="U63" i="20" s="1"/>
  <c r="S58" i="20"/>
  <c r="U58" i="20" s="1"/>
  <c r="S57" i="20"/>
  <c r="U57" i="20" s="1"/>
  <c r="S55" i="20"/>
  <c r="U55" i="20" s="1"/>
  <c r="S54" i="20"/>
  <c r="U54" i="20" s="1"/>
  <c r="S53" i="20"/>
  <c r="U53" i="20" s="1"/>
  <c r="S52" i="20"/>
  <c r="U52" i="20" s="1"/>
  <c r="S51" i="20"/>
  <c r="U51" i="20" s="1"/>
  <c r="S13" i="20"/>
  <c r="U13" i="20" s="1"/>
  <c r="S12" i="20"/>
  <c r="U12" i="20" s="1"/>
  <c r="S11" i="20"/>
  <c r="U11" i="20" s="1"/>
  <c r="S10" i="20"/>
  <c r="U10" i="20" s="1"/>
  <c r="S9" i="20"/>
  <c r="U9" i="20" s="1"/>
  <c r="S8" i="20"/>
  <c r="U8" i="20" s="1"/>
  <c r="L70" i="20"/>
  <c r="L69" i="20"/>
  <c r="L68" i="20"/>
  <c r="L67" i="20"/>
  <c r="L66" i="20"/>
  <c r="L65" i="20"/>
  <c r="L64" i="20"/>
  <c r="L63" i="20"/>
  <c r="L58" i="20"/>
  <c r="L57" i="20"/>
  <c r="L55" i="20"/>
  <c r="L54" i="20"/>
  <c r="L53" i="20"/>
  <c r="L52" i="20"/>
  <c r="L51" i="20"/>
  <c r="L13" i="20"/>
  <c r="L12" i="20"/>
  <c r="L11" i="20"/>
  <c r="L10" i="20"/>
  <c r="L9" i="20"/>
  <c r="L8" i="20"/>
  <c r="F70" i="20"/>
  <c r="F69" i="20"/>
  <c r="F68" i="20"/>
  <c r="F67" i="20"/>
  <c r="F66" i="20"/>
  <c r="F65" i="20"/>
  <c r="F64" i="20"/>
  <c r="F63" i="20"/>
  <c r="F58" i="20"/>
  <c r="F57" i="20"/>
  <c r="F55" i="20"/>
  <c r="F54" i="20"/>
  <c r="F53" i="20"/>
  <c r="F52" i="20"/>
  <c r="F51" i="20"/>
  <c r="F13" i="20"/>
  <c r="F12" i="20"/>
  <c r="F11" i="20"/>
  <c r="F10" i="20"/>
  <c r="F9" i="20"/>
  <c r="F8" i="20"/>
  <c r="S13" i="14"/>
  <c r="U13" i="14" s="1"/>
  <c r="N13" i="14"/>
  <c r="P13" i="14" s="1"/>
  <c r="L13" i="14"/>
  <c r="T11" i="14"/>
  <c r="T15" i="14" s="1"/>
  <c r="V20" i="19" s="1"/>
  <c r="O11" i="14"/>
  <c r="O15" i="14" s="1"/>
  <c r="Q20" i="19" s="1"/>
  <c r="C17" i="14"/>
  <c r="S29" i="16"/>
  <c r="U29" i="16" s="1"/>
  <c r="S25" i="16"/>
  <c r="U25" i="16" s="1"/>
  <c r="S21" i="16"/>
  <c r="U21" i="16" s="1"/>
  <c r="S20" i="16"/>
  <c r="U20" i="16" s="1"/>
  <c r="S19" i="16"/>
  <c r="U19" i="16" s="1"/>
  <c r="S18" i="16"/>
  <c r="U18" i="16" s="1"/>
  <c r="S17" i="16"/>
  <c r="U17" i="16" s="1"/>
  <c r="S16" i="16"/>
  <c r="U16" i="16" s="1"/>
  <c r="O23" i="16"/>
  <c r="T23" i="16"/>
  <c r="F25" i="16"/>
  <c r="F20" i="16"/>
  <c r="L29" i="16"/>
  <c r="L25" i="16"/>
  <c r="L21" i="16"/>
  <c r="L20" i="16"/>
  <c r="L19" i="16"/>
  <c r="L18" i="16"/>
  <c r="L17" i="16"/>
  <c r="L16" i="16"/>
  <c r="N29" i="16"/>
  <c r="P29" i="16" s="1"/>
  <c r="N25" i="16"/>
  <c r="P25" i="16" s="1"/>
  <c r="N21" i="16"/>
  <c r="P21" i="16" s="1"/>
  <c r="N20" i="16"/>
  <c r="P20" i="16" s="1"/>
  <c r="N19" i="16"/>
  <c r="P19" i="16" s="1"/>
  <c r="N18" i="16"/>
  <c r="P18" i="16" s="1"/>
  <c r="N17" i="16"/>
  <c r="P17" i="16" s="1"/>
  <c r="N16" i="16"/>
  <c r="P16" i="16" s="1"/>
  <c r="S11" i="16"/>
  <c r="U11" i="16" s="1"/>
  <c r="N11" i="16"/>
  <c r="P11" i="16" s="1"/>
  <c r="L11" i="16"/>
  <c r="S11" i="15"/>
  <c r="U11" i="15" s="1"/>
  <c r="L27" i="15"/>
  <c r="L21" i="15"/>
  <c r="L20" i="15"/>
  <c r="L19" i="15"/>
  <c r="L18" i="15"/>
  <c r="L17" i="15"/>
  <c r="L16" i="15"/>
  <c r="O23" i="15"/>
  <c r="T23" i="15"/>
  <c r="S27" i="15"/>
  <c r="U27" i="15" s="1"/>
  <c r="S21" i="15"/>
  <c r="U21" i="15" s="1"/>
  <c r="S20" i="15"/>
  <c r="U20" i="15" s="1"/>
  <c r="S19" i="15"/>
  <c r="U19" i="15" s="1"/>
  <c r="S18" i="15"/>
  <c r="U18" i="15" s="1"/>
  <c r="S17" i="15"/>
  <c r="U17" i="15" s="1"/>
  <c r="S16" i="15"/>
  <c r="U16" i="15" s="1"/>
  <c r="N27" i="15"/>
  <c r="P27" i="15" s="1"/>
  <c r="N21" i="15"/>
  <c r="P21" i="15" s="1"/>
  <c r="N20" i="15"/>
  <c r="P20" i="15" s="1"/>
  <c r="N19" i="15"/>
  <c r="P19" i="15" s="1"/>
  <c r="N18" i="15"/>
  <c r="P18" i="15" s="1"/>
  <c r="N17" i="15"/>
  <c r="P17" i="15" s="1"/>
  <c r="N16" i="15"/>
  <c r="P16" i="15" s="1"/>
  <c r="N11" i="15"/>
  <c r="P11" i="15" s="1"/>
  <c r="L11" i="15"/>
  <c r="L38" i="13"/>
  <c r="L34" i="13"/>
  <c r="L30" i="13"/>
  <c r="L29" i="13"/>
  <c r="L28" i="13"/>
  <c r="L23" i="13"/>
  <c r="L22" i="13"/>
  <c r="L21" i="13"/>
  <c r="L20" i="13"/>
  <c r="L19" i="13"/>
  <c r="L18" i="13"/>
  <c r="L17" i="13"/>
  <c r="L16" i="13"/>
  <c r="O32" i="13"/>
  <c r="T32" i="13"/>
  <c r="S38" i="13"/>
  <c r="U38" i="13" s="1"/>
  <c r="S34" i="13"/>
  <c r="U34" i="13" s="1"/>
  <c r="S30" i="13"/>
  <c r="U30" i="13" s="1"/>
  <c r="S29" i="13"/>
  <c r="U29" i="13" s="1"/>
  <c r="S28" i="13"/>
  <c r="S23" i="13"/>
  <c r="U23" i="13" s="1"/>
  <c r="S22" i="13"/>
  <c r="U22" i="13" s="1"/>
  <c r="S21" i="13"/>
  <c r="U21" i="13" s="1"/>
  <c r="S20" i="13"/>
  <c r="U20" i="13" s="1"/>
  <c r="S19" i="13"/>
  <c r="U19" i="13" s="1"/>
  <c r="S18" i="13"/>
  <c r="U18" i="13" s="1"/>
  <c r="S17" i="13"/>
  <c r="U17" i="13" s="1"/>
  <c r="S16" i="13"/>
  <c r="U16" i="13" s="1"/>
  <c r="O25" i="13"/>
  <c r="T25" i="13"/>
  <c r="N38" i="13"/>
  <c r="P38" i="13" s="1"/>
  <c r="N34" i="13"/>
  <c r="P34" i="13" s="1"/>
  <c r="N30" i="13"/>
  <c r="P30" i="13" s="1"/>
  <c r="N29" i="13"/>
  <c r="P29" i="13" s="1"/>
  <c r="N28" i="13"/>
  <c r="P28" i="13" s="1"/>
  <c r="N23" i="13"/>
  <c r="P23" i="13" s="1"/>
  <c r="N22" i="13"/>
  <c r="P22" i="13" s="1"/>
  <c r="N21" i="13"/>
  <c r="P21" i="13" s="1"/>
  <c r="N20" i="13"/>
  <c r="P20" i="13" s="1"/>
  <c r="N19" i="13"/>
  <c r="P19" i="13" s="1"/>
  <c r="N18" i="13"/>
  <c r="P18" i="13" s="1"/>
  <c r="N17" i="13"/>
  <c r="P17" i="13" s="1"/>
  <c r="N16" i="13"/>
  <c r="P16" i="13" s="1"/>
  <c r="F27" i="20"/>
  <c r="F9" i="8"/>
  <c r="F8" i="8"/>
  <c r="S57" i="6"/>
  <c r="F67" i="6"/>
  <c r="F34" i="13"/>
  <c r="F22" i="13"/>
  <c r="F21" i="13"/>
  <c r="S11" i="13"/>
  <c r="U11" i="13" s="1"/>
  <c r="N11" i="13"/>
  <c r="P11" i="13" s="1"/>
  <c r="L11" i="13"/>
  <c r="N31" i="12"/>
  <c r="P31" i="12" s="1"/>
  <c r="N27" i="12"/>
  <c r="P27" i="12"/>
  <c r="N22" i="12"/>
  <c r="P22" i="12" s="1"/>
  <c r="N21" i="12"/>
  <c r="P21" i="12" s="1"/>
  <c r="N20" i="12"/>
  <c r="P20" i="12" s="1"/>
  <c r="N19" i="12"/>
  <c r="P19" i="12" s="1"/>
  <c r="N18" i="12"/>
  <c r="P18" i="12" s="1"/>
  <c r="N17" i="12"/>
  <c r="P17" i="12" s="1"/>
  <c r="N16" i="12"/>
  <c r="P16" i="12" s="1"/>
  <c r="L31" i="12"/>
  <c r="L27" i="12"/>
  <c r="L22" i="12"/>
  <c r="L21" i="12"/>
  <c r="L20" i="12"/>
  <c r="L19" i="12"/>
  <c r="L18" i="12"/>
  <c r="L17" i="12"/>
  <c r="L16" i="12"/>
  <c r="F27" i="12"/>
  <c r="F21" i="12"/>
  <c r="F16" i="12"/>
  <c r="N11" i="12"/>
  <c r="P11" i="12" s="1"/>
  <c r="L11" i="12"/>
  <c r="S11" i="12"/>
  <c r="U11" i="12" s="1"/>
  <c r="O25" i="12"/>
  <c r="T25" i="12"/>
  <c r="S31" i="12"/>
  <c r="U31" i="12" s="1"/>
  <c r="S27" i="12"/>
  <c r="U27" i="12" s="1"/>
  <c r="S21" i="12"/>
  <c r="U21" i="12" s="1"/>
  <c r="S20" i="12"/>
  <c r="U20" i="12" s="1"/>
  <c r="S19" i="12"/>
  <c r="U19" i="12" s="1"/>
  <c r="S18" i="12"/>
  <c r="U18" i="12" s="1"/>
  <c r="S17" i="12"/>
  <c r="U17" i="12" s="1"/>
  <c r="S16" i="12"/>
  <c r="U16" i="12" s="1"/>
  <c r="F11" i="4"/>
  <c r="T13" i="16"/>
  <c r="O13" i="16"/>
  <c r="S10" i="16"/>
  <c r="U10" i="16" s="1"/>
  <c r="N10" i="16"/>
  <c r="P10" i="16" s="1"/>
  <c r="L10" i="16"/>
  <c r="F10" i="16"/>
  <c r="S9" i="16"/>
  <c r="U9" i="16" s="1"/>
  <c r="N9" i="16"/>
  <c r="P9" i="16" s="1"/>
  <c r="L9" i="16"/>
  <c r="S8" i="16"/>
  <c r="U8" i="16" s="1"/>
  <c r="N8" i="16"/>
  <c r="P8" i="16" s="1"/>
  <c r="L8" i="16"/>
  <c r="F8" i="16"/>
  <c r="S9" i="14"/>
  <c r="U9" i="14" s="1"/>
  <c r="N9" i="14"/>
  <c r="P9" i="14" s="1"/>
  <c r="L9" i="14"/>
  <c r="F9" i="14"/>
  <c r="S8" i="14"/>
  <c r="U8" i="14" s="1"/>
  <c r="N8" i="14"/>
  <c r="P8" i="14" s="1"/>
  <c r="P11" i="14" s="1"/>
  <c r="L8" i="14"/>
  <c r="L11" i="14" s="1"/>
  <c r="F8" i="14"/>
  <c r="T13" i="15"/>
  <c r="O13" i="15"/>
  <c r="S10" i="15"/>
  <c r="U10" i="15" s="1"/>
  <c r="N10" i="15"/>
  <c r="P10" i="15" s="1"/>
  <c r="L10" i="15"/>
  <c r="S9" i="15"/>
  <c r="U9" i="15" s="1"/>
  <c r="N9" i="15"/>
  <c r="P9" i="15" s="1"/>
  <c r="L9" i="15"/>
  <c r="S8" i="15"/>
  <c r="U8" i="15" s="1"/>
  <c r="N8" i="15"/>
  <c r="P8" i="15" s="1"/>
  <c r="L8" i="15"/>
  <c r="F8" i="15"/>
  <c r="T13" i="13"/>
  <c r="O13" i="13"/>
  <c r="S10" i="13"/>
  <c r="U10" i="13" s="1"/>
  <c r="N10" i="13"/>
  <c r="P10" i="13" s="1"/>
  <c r="L10" i="13"/>
  <c r="S9" i="13"/>
  <c r="U9" i="13" s="1"/>
  <c r="N9" i="13"/>
  <c r="P9" i="13" s="1"/>
  <c r="L9" i="13"/>
  <c r="S8" i="13"/>
  <c r="U8" i="13" s="1"/>
  <c r="N8" i="13"/>
  <c r="L8" i="13"/>
  <c r="F8" i="13"/>
  <c r="T13" i="12"/>
  <c r="O13" i="12"/>
  <c r="O29" i="12" s="1"/>
  <c r="O33" i="12" s="1"/>
  <c r="Q17" i="19" s="1"/>
  <c r="S10" i="12"/>
  <c r="U10" i="12" s="1"/>
  <c r="N10" i="12"/>
  <c r="P10" i="12" s="1"/>
  <c r="L10" i="12"/>
  <c r="S9" i="12"/>
  <c r="U9" i="12" s="1"/>
  <c r="N9" i="12"/>
  <c r="P9" i="12" s="1"/>
  <c r="L9" i="12"/>
  <c r="S8" i="12"/>
  <c r="U8" i="12" s="1"/>
  <c r="N8" i="12"/>
  <c r="P8" i="12" s="1"/>
  <c r="L8" i="12"/>
  <c r="F8" i="12"/>
  <c r="S11" i="11"/>
  <c r="U11" i="11" s="1"/>
  <c r="L11" i="11"/>
  <c r="N11" i="11"/>
  <c r="P11" i="11" s="1"/>
  <c r="S29" i="11"/>
  <c r="S25" i="11"/>
  <c r="S21" i="11"/>
  <c r="S20" i="11"/>
  <c r="S19" i="11"/>
  <c r="S18" i="11"/>
  <c r="S17" i="11"/>
  <c r="S16" i="11"/>
  <c r="O23" i="11"/>
  <c r="U23" i="11"/>
  <c r="T23" i="11"/>
  <c r="N29" i="11"/>
  <c r="P29" i="11" s="1"/>
  <c r="N25" i="11"/>
  <c r="P25" i="11" s="1"/>
  <c r="N21" i="11"/>
  <c r="P21" i="11" s="1"/>
  <c r="N20" i="11"/>
  <c r="P20" i="11" s="1"/>
  <c r="N19" i="11"/>
  <c r="P19" i="11" s="1"/>
  <c r="N18" i="11"/>
  <c r="P18" i="11" s="1"/>
  <c r="N17" i="11"/>
  <c r="P17" i="11" s="1"/>
  <c r="N16" i="11"/>
  <c r="P16" i="11" s="1"/>
  <c r="L29" i="11"/>
  <c r="L25" i="11"/>
  <c r="L21" i="11"/>
  <c r="L20" i="11"/>
  <c r="L19" i="11"/>
  <c r="L18" i="11"/>
  <c r="L17" i="11"/>
  <c r="L16" i="11"/>
  <c r="F25" i="11"/>
  <c r="F21" i="11"/>
  <c r="T13" i="11"/>
  <c r="O13" i="11"/>
  <c r="S10" i="11"/>
  <c r="U10" i="11" s="1"/>
  <c r="N10" i="11"/>
  <c r="P10" i="11" s="1"/>
  <c r="L10" i="11"/>
  <c r="S9" i="11"/>
  <c r="U9" i="11" s="1"/>
  <c r="N9" i="11"/>
  <c r="P9" i="11" s="1"/>
  <c r="L9" i="11"/>
  <c r="S8" i="11"/>
  <c r="U8" i="11" s="1"/>
  <c r="N8" i="11"/>
  <c r="P8" i="11" s="1"/>
  <c r="L8" i="11"/>
  <c r="F8" i="11"/>
  <c r="N11" i="21"/>
  <c r="P11" i="21" s="1"/>
  <c r="L11" i="21"/>
  <c r="N29" i="21"/>
  <c r="P29" i="21" s="1"/>
  <c r="N25" i="21"/>
  <c r="P25" i="21" s="1"/>
  <c r="N21" i="21"/>
  <c r="P21" i="21" s="1"/>
  <c r="N20" i="21"/>
  <c r="P20" i="21" s="1"/>
  <c r="N19" i="21"/>
  <c r="P19" i="21" s="1"/>
  <c r="N18" i="21"/>
  <c r="P18" i="21" s="1"/>
  <c r="N17" i="21"/>
  <c r="P17" i="21" s="1"/>
  <c r="N16" i="21"/>
  <c r="P16" i="21" s="1"/>
  <c r="L29" i="21"/>
  <c r="L25" i="21"/>
  <c r="L21" i="21"/>
  <c r="L20" i="21"/>
  <c r="L19" i="21"/>
  <c r="L18" i="21"/>
  <c r="L17" i="21"/>
  <c r="L16" i="21"/>
  <c r="F25" i="21"/>
  <c r="F20" i="21"/>
  <c r="S20" i="1"/>
  <c r="U20" i="1" s="1"/>
  <c r="N20" i="1"/>
  <c r="P20" i="1" s="1"/>
  <c r="O23" i="21"/>
  <c r="T23" i="21"/>
  <c r="S29" i="21"/>
  <c r="U29" i="21" s="1"/>
  <c r="S25" i="21"/>
  <c r="U25" i="21" s="1"/>
  <c r="S21" i="21"/>
  <c r="U21" i="21" s="1"/>
  <c r="S20" i="21"/>
  <c r="U20" i="21" s="1"/>
  <c r="S19" i="21"/>
  <c r="U19" i="21" s="1"/>
  <c r="S18" i="21"/>
  <c r="U18" i="21" s="1"/>
  <c r="S17" i="21"/>
  <c r="U17" i="21" s="1"/>
  <c r="S16" i="21"/>
  <c r="T13" i="21"/>
  <c r="O13" i="21"/>
  <c r="S10" i="21"/>
  <c r="U10" i="21" s="1"/>
  <c r="N10" i="21"/>
  <c r="P10" i="21" s="1"/>
  <c r="L10" i="21"/>
  <c r="S9" i="21"/>
  <c r="U9" i="21" s="1"/>
  <c r="N9" i="21"/>
  <c r="P9" i="21" s="1"/>
  <c r="L9" i="21"/>
  <c r="S8" i="21"/>
  <c r="U8" i="21" s="1"/>
  <c r="N8" i="21"/>
  <c r="P8" i="21" s="1"/>
  <c r="L8" i="21"/>
  <c r="F8" i="21"/>
  <c r="N11" i="9"/>
  <c r="P11" i="9" s="1"/>
  <c r="L11" i="9"/>
  <c r="S11" i="9"/>
  <c r="U11" i="9" s="1"/>
  <c r="O27" i="9"/>
  <c r="T27" i="9"/>
  <c r="F29" i="9"/>
  <c r="F24" i="9"/>
  <c r="F23" i="9"/>
  <c r="F22" i="9"/>
  <c r="F21" i="9"/>
  <c r="L33" i="9"/>
  <c r="L29" i="9"/>
  <c r="L25" i="9"/>
  <c r="L24" i="9"/>
  <c r="L23" i="9"/>
  <c r="L22" i="9"/>
  <c r="L21" i="9"/>
  <c r="L20" i="9"/>
  <c r="L19" i="9"/>
  <c r="L18" i="9"/>
  <c r="L17" i="9"/>
  <c r="L16" i="9"/>
  <c r="N33" i="9"/>
  <c r="N29" i="9"/>
  <c r="N25" i="9"/>
  <c r="P25" i="9" s="1"/>
  <c r="N24" i="9"/>
  <c r="P24" i="9" s="1"/>
  <c r="N23" i="9"/>
  <c r="P23" i="9" s="1"/>
  <c r="N22" i="9"/>
  <c r="P22" i="9" s="1"/>
  <c r="N21" i="9"/>
  <c r="P21" i="9" s="1"/>
  <c r="N20" i="9"/>
  <c r="P20" i="9" s="1"/>
  <c r="N19" i="9"/>
  <c r="P19" i="9" s="1"/>
  <c r="N18" i="9"/>
  <c r="P18" i="9" s="1"/>
  <c r="N17" i="9"/>
  <c r="P17" i="9" s="1"/>
  <c r="N16" i="9"/>
  <c r="S25" i="9"/>
  <c r="U25" i="9" s="1"/>
  <c r="S24" i="9"/>
  <c r="U24" i="9" s="1"/>
  <c r="S23" i="9"/>
  <c r="U23" i="9" s="1"/>
  <c r="S22" i="9"/>
  <c r="U22" i="9" s="1"/>
  <c r="S21" i="9"/>
  <c r="U21" i="9" s="1"/>
  <c r="S20" i="9"/>
  <c r="U20" i="9" s="1"/>
  <c r="S19" i="9"/>
  <c r="U19" i="9" s="1"/>
  <c r="S18" i="9"/>
  <c r="U18" i="9" s="1"/>
  <c r="S17" i="9"/>
  <c r="U17" i="9" s="1"/>
  <c r="S16" i="9"/>
  <c r="U16" i="9" s="1"/>
  <c r="S33" i="9"/>
  <c r="U33" i="9" s="1"/>
  <c r="S29" i="9"/>
  <c r="U29" i="9" s="1"/>
  <c r="T13" i="9"/>
  <c r="O13" i="9"/>
  <c r="S10" i="9"/>
  <c r="U10" i="9" s="1"/>
  <c r="N10" i="9"/>
  <c r="P10" i="9" s="1"/>
  <c r="L10" i="9"/>
  <c r="S9" i="9"/>
  <c r="U9" i="9" s="1"/>
  <c r="N9" i="9"/>
  <c r="P9" i="9" s="1"/>
  <c r="L9" i="9"/>
  <c r="S8" i="9"/>
  <c r="U8" i="9" s="1"/>
  <c r="N8" i="9"/>
  <c r="P8" i="9" s="1"/>
  <c r="L8" i="9"/>
  <c r="F8" i="9"/>
  <c r="N11" i="4"/>
  <c r="P11" i="4" s="1"/>
  <c r="N28" i="4"/>
  <c r="P28" i="4" s="1"/>
  <c r="N24" i="4"/>
  <c r="P24" i="4" s="1"/>
  <c r="S20" i="3"/>
  <c r="U20" i="3" s="1"/>
  <c r="S11" i="3"/>
  <c r="U11" i="3" s="1"/>
  <c r="N11" i="3"/>
  <c r="P11" i="3" s="1"/>
  <c r="L11" i="3"/>
  <c r="N20" i="4"/>
  <c r="P20" i="4" s="1"/>
  <c r="L28" i="4"/>
  <c r="L24" i="4"/>
  <c r="L20" i="4"/>
  <c r="L19" i="4"/>
  <c r="L18" i="4"/>
  <c r="L17" i="4"/>
  <c r="L16" i="4"/>
  <c r="L11" i="4"/>
  <c r="F24" i="4"/>
  <c r="S11" i="4"/>
  <c r="U11" i="4" s="1"/>
  <c r="S28" i="4"/>
  <c r="U28" i="4" s="1"/>
  <c r="S24" i="4"/>
  <c r="U24" i="4" s="1"/>
  <c r="S20" i="4"/>
  <c r="U20" i="4" s="1"/>
  <c r="S19" i="4"/>
  <c r="U19" i="4" s="1"/>
  <c r="S18" i="4"/>
  <c r="U18" i="4" s="1"/>
  <c r="S17" i="4"/>
  <c r="U17" i="4" s="1"/>
  <c r="S16" i="4"/>
  <c r="U16" i="4" s="1"/>
  <c r="O22" i="4"/>
  <c r="T22" i="4"/>
  <c r="N19" i="4"/>
  <c r="P19" i="4" s="1"/>
  <c r="N18" i="4"/>
  <c r="P18" i="4" s="1"/>
  <c r="N17" i="4"/>
  <c r="P17" i="4" s="1"/>
  <c r="N16" i="4"/>
  <c r="T13" i="4"/>
  <c r="O13" i="4"/>
  <c r="S10" i="4"/>
  <c r="U10" i="4" s="1"/>
  <c r="N10" i="4"/>
  <c r="P10" i="4" s="1"/>
  <c r="L10" i="4"/>
  <c r="S9" i="4"/>
  <c r="U9" i="4" s="1"/>
  <c r="N9" i="4"/>
  <c r="P9" i="4" s="1"/>
  <c r="L9" i="4"/>
  <c r="S8" i="4"/>
  <c r="U8" i="4" s="1"/>
  <c r="N8" i="4"/>
  <c r="P8" i="4" s="1"/>
  <c r="L8" i="4"/>
  <c r="F8" i="4"/>
  <c r="T13" i="1"/>
  <c r="O13" i="1"/>
  <c r="N20" i="3"/>
  <c r="P20" i="3" s="1"/>
  <c r="L20" i="3"/>
  <c r="F24" i="3"/>
  <c r="T22" i="3"/>
  <c r="O22" i="3"/>
  <c r="T13" i="3"/>
  <c r="O13" i="3"/>
  <c r="F8" i="3"/>
  <c r="N28" i="3"/>
  <c r="P28" i="3" s="1"/>
  <c r="N24" i="3"/>
  <c r="P24" i="3" s="1"/>
  <c r="N19" i="3"/>
  <c r="P19" i="3" s="1"/>
  <c r="N18" i="3"/>
  <c r="P18" i="3" s="1"/>
  <c r="N17" i="3"/>
  <c r="P17" i="3" s="1"/>
  <c r="N16" i="3"/>
  <c r="P16" i="3" s="1"/>
  <c r="N10" i="3"/>
  <c r="P10" i="3" s="1"/>
  <c r="N9" i="3"/>
  <c r="P9" i="3" s="1"/>
  <c r="N8" i="3"/>
  <c r="P8" i="3" s="1"/>
  <c r="L28" i="3"/>
  <c r="L24" i="3"/>
  <c r="L19" i="3"/>
  <c r="L18" i="3"/>
  <c r="L17" i="3"/>
  <c r="L16" i="3"/>
  <c r="L9" i="3"/>
  <c r="L10" i="3"/>
  <c r="L8" i="3"/>
  <c r="S28" i="3"/>
  <c r="U28" i="3" s="1"/>
  <c r="S24" i="3"/>
  <c r="U24" i="3" s="1"/>
  <c r="S19" i="3"/>
  <c r="U19" i="3" s="1"/>
  <c r="S18" i="3"/>
  <c r="U18" i="3" s="1"/>
  <c r="S17" i="3"/>
  <c r="U17" i="3" s="1"/>
  <c r="S16" i="3"/>
  <c r="U16" i="3" s="1"/>
  <c r="S10" i="3"/>
  <c r="U10" i="3" s="1"/>
  <c r="S9" i="3"/>
  <c r="U9" i="3" s="1"/>
  <c r="S8" i="3"/>
  <c r="U8" i="3" s="1"/>
  <c r="C16" i="2"/>
  <c r="S8" i="2"/>
  <c r="U8" i="2" s="1"/>
  <c r="N8" i="2"/>
  <c r="P8" i="2" s="1"/>
  <c r="L8" i="2"/>
  <c r="N12" i="2"/>
  <c r="P12" i="2" s="1"/>
  <c r="L12" i="2"/>
  <c r="F8" i="2"/>
  <c r="F7" i="2"/>
  <c r="O10" i="2"/>
  <c r="O14" i="2" s="1"/>
  <c r="Q11" i="19" s="1"/>
  <c r="N7" i="2"/>
  <c r="L7" i="2"/>
  <c r="T10" i="2"/>
  <c r="T14" i="2" s="1"/>
  <c r="V11" i="19" s="1"/>
  <c r="U12" i="2"/>
  <c r="S7" i="2"/>
  <c r="U7" i="2" s="1"/>
  <c r="L26" i="1"/>
  <c r="L20" i="1"/>
  <c r="L19" i="1"/>
  <c r="L18" i="1"/>
  <c r="L17" i="1"/>
  <c r="L16" i="1"/>
  <c r="L10" i="1"/>
  <c r="L9" i="1"/>
  <c r="L8" i="1"/>
  <c r="S26" i="1"/>
  <c r="U26" i="1" s="1"/>
  <c r="S19" i="1"/>
  <c r="U19" i="1" s="1"/>
  <c r="S18" i="1"/>
  <c r="U18" i="1" s="1"/>
  <c r="S17" i="1"/>
  <c r="U17" i="1" s="1"/>
  <c r="S16" i="1"/>
  <c r="U16" i="1" s="1"/>
  <c r="T22" i="1"/>
  <c r="T24" i="1" s="1"/>
  <c r="T28" i="1" s="1"/>
  <c r="V10" i="19" s="1"/>
  <c r="S10" i="1"/>
  <c r="U10" i="1" s="1"/>
  <c r="S9" i="1"/>
  <c r="U9" i="1" s="1"/>
  <c r="S8" i="1"/>
  <c r="O22" i="1"/>
  <c r="P11" i="1"/>
  <c r="F11" i="1"/>
  <c r="F8" i="1"/>
  <c r="N26" i="1"/>
  <c r="P26" i="1" s="1"/>
  <c r="N19" i="1"/>
  <c r="P19" i="1" s="1"/>
  <c r="N18" i="1"/>
  <c r="P18" i="1" s="1"/>
  <c r="N17" i="1"/>
  <c r="P17" i="1" s="1"/>
  <c r="N16" i="1"/>
  <c r="P16" i="1" s="1"/>
  <c r="N10" i="1"/>
  <c r="P10" i="1" s="1"/>
  <c r="N9" i="1"/>
  <c r="P9" i="1" s="1"/>
  <c r="N8" i="1"/>
  <c r="F19" i="9"/>
  <c r="P8" i="13"/>
  <c r="U16" i="21"/>
  <c r="F28" i="13"/>
  <c r="F30" i="13"/>
  <c r="L15" i="14" l="1"/>
  <c r="N20" i="19" s="1"/>
  <c r="P15" i="14"/>
  <c r="R20" i="19" s="1"/>
  <c r="L13" i="11"/>
  <c r="G6" i="22"/>
  <c r="N22" i="4"/>
  <c r="O25" i="15"/>
  <c r="O29" i="15" s="1"/>
  <c r="Q19" i="19" s="1"/>
  <c r="G5" i="22"/>
  <c r="D76" i="20"/>
  <c r="O12" i="22"/>
  <c r="F69" i="22"/>
  <c r="F70" i="22" s="1"/>
  <c r="F71" i="22" s="1"/>
  <c r="F20" i="22"/>
  <c r="O16" i="22"/>
  <c r="G16" i="22"/>
  <c r="W2" i="22"/>
  <c r="X6" i="22" s="1"/>
  <c r="O7" i="22"/>
  <c r="F44" i="22"/>
  <c r="F45" i="22" s="1"/>
  <c r="F46" i="22" s="1"/>
  <c r="O6" i="22"/>
  <c r="F39" i="22"/>
  <c r="F40" i="22" s="1"/>
  <c r="F41" i="22" s="1"/>
  <c r="O10" i="22"/>
  <c r="O18" i="22"/>
  <c r="F34" i="22"/>
  <c r="O5" i="22"/>
  <c r="N8" i="22"/>
  <c r="N11" i="22"/>
  <c r="N15" i="22"/>
  <c r="O9" i="22"/>
  <c r="O13" i="22"/>
  <c r="O17" i="22"/>
  <c r="N14" i="22"/>
  <c r="L20" i="22"/>
  <c r="O65" i="6"/>
  <c r="O69" i="6" s="1"/>
  <c r="Q8" i="19" s="1"/>
  <c r="T65" i="6"/>
  <c r="T69" i="6" s="1"/>
  <c r="V8" i="19" s="1"/>
  <c r="L22" i="1"/>
  <c r="T27" i="11"/>
  <c r="T31" i="11" s="1"/>
  <c r="V16" i="19" s="1"/>
  <c r="S32" i="13"/>
  <c r="H13" i="14"/>
  <c r="P13" i="4"/>
  <c r="C11" i="13"/>
  <c r="H11" i="13"/>
  <c r="J11" i="13" s="1"/>
  <c r="H29" i="11"/>
  <c r="J29" i="11" s="1"/>
  <c r="C11" i="11"/>
  <c r="H11" i="11"/>
  <c r="J11" i="11" s="1"/>
  <c r="C11" i="9"/>
  <c r="H11" i="9"/>
  <c r="J11" i="9" s="1"/>
  <c r="F12" i="2"/>
  <c r="H12" i="2"/>
  <c r="H29" i="16"/>
  <c r="J29" i="16" s="1"/>
  <c r="C11" i="16"/>
  <c r="H11" i="16"/>
  <c r="J11" i="16" s="1"/>
  <c r="C13" i="8"/>
  <c r="C15" i="8" s="1"/>
  <c r="H13" i="8"/>
  <c r="H27" i="15"/>
  <c r="J27" i="15" s="1"/>
  <c r="C11" i="15"/>
  <c r="H11" i="15"/>
  <c r="J11" i="15" s="1"/>
  <c r="H31" i="12"/>
  <c r="J31" i="12" s="1"/>
  <c r="C11" i="12"/>
  <c r="H11" i="12"/>
  <c r="J11" i="12" s="1"/>
  <c r="H29" i="21"/>
  <c r="J29" i="21" s="1"/>
  <c r="C11" i="21"/>
  <c r="H11" i="21"/>
  <c r="J11" i="21" s="1"/>
  <c r="J9" i="11"/>
  <c r="C16" i="4"/>
  <c r="H16" i="4"/>
  <c r="C10" i="13"/>
  <c r="H10" i="13"/>
  <c r="J10" i="13" s="1"/>
  <c r="C10" i="9"/>
  <c r="H10" i="9"/>
  <c r="J10" i="9" s="1"/>
  <c r="C20" i="12"/>
  <c r="H20" i="12"/>
  <c r="J20" i="12" s="1"/>
  <c r="C19" i="21"/>
  <c r="H19" i="21"/>
  <c r="J19" i="21" s="1"/>
  <c r="H28" i="3"/>
  <c r="J28" i="3" s="1"/>
  <c r="C11" i="3"/>
  <c r="H11" i="3"/>
  <c r="J11" i="3" s="1"/>
  <c r="C10" i="3"/>
  <c r="H10" i="3"/>
  <c r="J10" i="3" s="1"/>
  <c r="J9" i="1"/>
  <c r="H26" i="1"/>
  <c r="J26" i="1" s="1"/>
  <c r="T26" i="4"/>
  <c r="T30" i="4" s="1"/>
  <c r="V13" i="19" s="1"/>
  <c r="F11" i="9"/>
  <c r="N27" i="9"/>
  <c r="T27" i="21"/>
  <c r="T31" i="21" s="1"/>
  <c r="V15" i="19" s="1"/>
  <c r="U33" i="6"/>
  <c r="L63" i="6"/>
  <c r="J8" i="22"/>
  <c r="J25" i="20"/>
  <c r="J29" i="20" s="1"/>
  <c r="H29" i="20"/>
  <c r="R36" i="13"/>
  <c r="R40" i="13" s="1"/>
  <c r="T18" i="19" s="1"/>
  <c r="R24" i="1"/>
  <c r="R28" i="1" s="1"/>
  <c r="T10" i="19" s="1"/>
  <c r="S10" i="2"/>
  <c r="S14" i="2" s="1"/>
  <c r="U11" i="19" s="1"/>
  <c r="P13" i="3"/>
  <c r="F11" i="11"/>
  <c r="H67" i="6"/>
  <c r="J67" i="6" s="1"/>
  <c r="C17" i="6"/>
  <c r="H17" i="6"/>
  <c r="P16" i="4"/>
  <c r="P22" i="4" s="1"/>
  <c r="P26" i="4" s="1"/>
  <c r="P30" i="4" s="1"/>
  <c r="R13" i="19" s="1"/>
  <c r="L13" i="15"/>
  <c r="L26" i="6"/>
  <c r="L15" i="8"/>
  <c r="N9" i="19" s="1"/>
  <c r="J9" i="6"/>
  <c r="F29" i="11"/>
  <c r="F11" i="13"/>
  <c r="O24" i="1"/>
  <c r="O28" i="1" s="1"/>
  <c r="Q10" i="19" s="1"/>
  <c r="N13" i="4"/>
  <c r="N26" i="4" s="1"/>
  <c r="N30" i="4" s="1"/>
  <c r="P13" i="19" s="1"/>
  <c r="T31" i="9"/>
  <c r="T35" i="9" s="1"/>
  <c r="V14" i="19" s="1"/>
  <c r="L13" i="12"/>
  <c r="N23" i="15"/>
  <c r="S26" i="6"/>
  <c r="G9" i="22"/>
  <c r="L44" i="6"/>
  <c r="L57" i="6"/>
  <c r="N15" i="8"/>
  <c r="P9" i="19" s="1"/>
  <c r="M29" i="12"/>
  <c r="M33" i="12" s="1"/>
  <c r="O17" i="19" s="1"/>
  <c r="M27" i="21"/>
  <c r="M31" i="21" s="1"/>
  <c r="O15" i="19" s="1"/>
  <c r="S13" i="13"/>
  <c r="T27" i="16"/>
  <c r="T31" i="16" s="1"/>
  <c r="V21" i="19" s="1"/>
  <c r="L14" i="6"/>
  <c r="L33" i="6"/>
  <c r="L13" i="4"/>
  <c r="O27" i="21"/>
  <c r="O31" i="21" s="1"/>
  <c r="Q15" i="19" s="1"/>
  <c r="U13" i="15"/>
  <c r="S44" i="6"/>
  <c r="F29" i="16"/>
  <c r="J9" i="22"/>
  <c r="G18" i="1"/>
  <c r="P23" i="16"/>
  <c r="U22" i="3"/>
  <c r="U13" i="11"/>
  <c r="U27" i="11" s="1"/>
  <c r="U31" i="11" s="1"/>
  <c r="W16" i="19" s="1"/>
  <c r="U13" i="12"/>
  <c r="N22" i="1"/>
  <c r="U13" i="9"/>
  <c r="N13" i="13"/>
  <c r="P16" i="9"/>
  <c r="P27" i="9" s="1"/>
  <c r="F11" i="14"/>
  <c r="N44" i="6"/>
  <c r="N26" i="6"/>
  <c r="L23" i="16"/>
  <c r="F33" i="6"/>
  <c r="S13" i="11"/>
  <c r="N13" i="9"/>
  <c r="N31" i="9" s="1"/>
  <c r="N35" i="9" s="1"/>
  <c r="P14" i="19" s="1"/>
  <c r="N13" i="1"/>
  <c r="N10" i="2"/>
  <c r="N14" i="2" s="1"/>
  <c r="P11" i="19" s="1"/>
  <c r="U10" i="2"/>
  <c r="U14" i="2" s="1"/>
  <c r="W11" i="19" s="1"/>
  <c r="L22" i="4"/>
  <c r="L26" i="4" s="1"/>
  <c r="L30" i="4" s="1"/>
  <c r="N13" i="19" s="1"/>
  <c r="L27" i="9"/>
  <c r="L13" i="21"/>
  <c r="P13" i="21"/>
  <c r="T29" i="12"/>
  <c r="T33" i="12" s="1"/>
  <c r="V17" i="19" s="1"/>
  <c r="U13" i="13"/>
  <c r="L13" i="16"/>
  <c r="L25" i="12"/>
  <c r="S33" i="6"/>
  <c r="N14" i="6"/>
  <c r="S14" i="6"/>
  <c r="U28" i="13"/>
  <c r="U32" i="13" s="1"/>
  <c r="N23" i="16"/>
  <c r="P14" i="6"/>
  <c r="G13" i="22"/>
  <c r="T9" i="22"/>
  <c r="M65" i="6"/>
  <c r="M69" i="6" s="1"/>
  <c r="O8" i="19" s="1"/>
  <c r="S13" i="15"/>
  <c r="N11" i="14"/>
  <c r="N15" i="14" s="1"/>
  <c r="P20" i="19" s="1"/>
  <c r="U13" i="16"/>
  <c r="N33" i="6"/>
  <c r="P8" i="8"/>
  <c r="N13" i="21"/>
  <c r="N13" i="16"/>
  <c r="U13" i="4"/>
  <c r="O26" i="4"/>
  <c r="O30" i="4" s="1"/>
  <c r="Q13" i="19" s="1"/>
  <c r="S13" i="9"/>
  <c r="L13" i="9"/>
  <c r="O31" i="9"/>
  <c r="O35" i="9" s="1"/>
  <c r="Q14" i="19" s="1"/>
  <c r="L23" i="21"/>
  <c r="L23" i="11"/>
  <c r="O27" i="11"/>
  <c r="O31" i="11" s="1"/>
  <c r="Q16" i="19" s="1"/>
  <c r="S23" i="11"/>
  <c r="L13" i="13"/>
  <c r="O36" i="13"/>
  <c r="O40" i="13" s="1"/>
  <c r="Q18" i="19" s="1"/>
  <c r="T25" i="15"/>
  <c r="T29" i="15" s="1"/>
  <c r="V19" i="19" s="1"/>
  <c r="N57" i="6"/>
  <c r="N63" i="6"/>
  <c r="S63" i="6"/>
  <c r="S15" i="8"/>
  <c r="U9" i="19" s="1"/>
  <c r="F13" i="8"/>
  <c r="F15" i="8" s="1"/>
  <c r="G9" i="19" s="1"/>
  <c r="L22" i="3"/>
  <c r="S13" i="3"/>
  <c r="L13" i="3"/>
  <c r="P22" i="3"/>
  <c r="P26" i="3" s="1"/>
  <c r="P30" i="3" s="1"/>
  <c r="R12" i="19" s="1"/>
  <c r="O26" i="3"/>
  <c r="O30" i="3" s="1"/>
  <c r="Q12" i="19" s="1"/>
  <c r="T26" i="3"/>
  <c r="T30" i="3" s="1"/>
  <c r="V12" i="19" s="1"/>
  <c r="M26" i="3"/>
  <c r="M30" i="3" s="1"/>
  <c r="O12" i="19" s="1"/>
  <c r="P15" i="8"/>
  <c r="R9" i="19" s="1"/>
  <c r="U15" i="8"/>
  <c r="W9" i="19" s="1"/>
  <c r="U25" i="13"/>
  <c r="P23" i="15"/>
  <c r="S22" i="3"/>
  <c r="N22" i="3"/>
  <c r="N13" i="12"/>
  <c r="N25" i="12"/>
  <c r="S27" i="9"/>
  <c r="U22" i="1"/>
  <c r="P13" i="15"/>
  <c r="O27" i="16"/>
  <c r="O31" i="16" s="1"/>
  <c r="Q21" i="19" s="1"/>
  <c r="N25" i="13"/>
  <c r="M24" i="1"/>
  <c r="M28" i="1" s="1"/>
  <c r="O10" i="19" s="1"/>
  <c r="N13" i="11"/>
  <c r="N23" i="11"/>
  <c r="S25" i="12"/>
  <c r="S11" i="14"/>
  <c r="S15" i="14" s="1"/>
  <c r="U20" i="19" s="1"/>
  <c r="N23" i="21"/>
  <c r="N27" i="21" s="1"/>
  <c r="N31" i="21" s="1"/>
  <c r="P15" i="19" s="1"/>
  <c r="L10" i="2"/>
  <c r="L14" i="2" s="1"/>
  <c r="N11" i="19" s="1"/>
  <c r="F11" i="21"/>
  <c r="F11" i="12"/>
  <c r="T36" i="13"/>
  <c r="T40" i="13" s="1"/>
  <c r="V18" i="19" s="1"/>
  <c r="P13" i="16"/>
  <c r="P27" i="16" s="1"/>
  <c r="P31" i="16" s="1"/>
  <c r="R21" i="19" s="1"/>
  <c r="P25" i="12"/>
  <c r="U23" i="15"/>
  <c r="U25" i="15" s="1"/>
  <c r="U29" i="15" s="1"/>
  <c r="W19" i="19" s="1"/>
  <c r="S23" i="16"/>
  <c r="S25" i="13"/>
  <c r="S36" i="13" s="1"/>
  <c r="S40" i="13" s="1"/>
  <c r="U18" i="19" s="1"/>
  <c r="L23" i="15"/>
  <c r="L25" i="15" s="1"/>
  <c r="L29" i="15" s="1"/>
  <c r="N19" i="19" s="1"/>
  <c r="M36" i="13"/>
  <c r="M40" i="13" s="1"/>
  <c r="O18" i="19" s="1"/>
  <c r="M27" i="11"/>
  <c r="M31" i="11" s="1"/>
  <c r="O16" i="19" s="1"/>
  <c r="P32" i="13"/>
  <c r="G7" i="22"/>
  <c r="P7" i="2"/>
  <c r="P10" i="2" s="1"/>
  <c r="P14" i="2" s="1"/>
  <c r="R11" i="19" s="1"/>
  <c r="N13" i="3"/>
  <c r="N26" i="3" s="1"/>
  <c r="N30" i="3" s="1"/>
  <c r="P12" i="19" s="1"/>
  <c r="S13" i="4"/>
  <c r="P8" i="1"/>
  <c r="P13" i="1" s="1"/>
  <c r="S22" i="1"/>
  <c r="S22" i="4"/>
  <c r="S13" i="21"/>
  <c r="S13" i="12"/>
  <c r="S13" i="16"/>
  <c r="N13" i="15"/>
  <c r="U11" i="14"/>
  <c r="U15" i="14" s="1"/>
  <c r="W20" i="19" s="1"/>
  <c r="S23" i="21"/>
  <c r="F10" i="2"/>
  <c r="F11" i="3"/>
  <c r="F11" i="15"/>
  <c r="N32" i="13"/>
  <c r="L25" i="13"/>
  <c r="L32" i="13"/>
  <c r="S23" i="15"/>
  <c r="G11" i="22"/>
  <c r="M26" i="4"/>
  <c r="M30" i="4" s="1"/>
  <c r="O13" i="19" s="1"/>
  <c r="G12" i="22"/>
  <c r="G14" i="22"/>
  <c r="F27" i="15"/>
  <c r="F28" i="3"/>
  <c r="T14" i="22"/>
  <c r="F13" i="14"/>
  <c r="F15" i="14" s="1"/>
  <c r="G20" i="19" s="1"/>
  <c r="F29" i="21"/>
  <c r="F31" i="12"/>
  <c r="G18" i="22"/>
  <c r="J14" i="22"/>
  <c r="P44" i="6"/>
  <c r="P57" i="6"/>
  <c r="P22" i="1"/>
  <c r="P13" i="11"/>
  <c r="P13" i="9"/>
  <c r="L13" i="1"/>
  <c r="L24" i="1" s="1"/>
  <c r="L28" i="1" s="1"/>
  <c r="N10" i="19" s="1"/>
  <c r="P23" i="21"/>
  <c r="P23" i="11"/>
  <c r="P13" i="12"/>
  <c r="P13" i="13"/>
  <c r="U44" i="6"/>
  <c r="P63" i="6"/>
  <c r="C91" i="20"/>
  <c r="M25" i="15"/>
  <c r="M29" i="15" s="1"/>
  <c r="O19" i="19" s="1"/>
  <c r="M31" i="9"/>
  <c r="M35" i="9" s="1"/>
  <c r="O14" i="19" s="1"/>
  <c r="R27" i="11"/>
  <c r="R31" i="11" s="1"/>
  <c r="T16" i="19" s="1"/>
  <c r="R31" i="9"/>
  <c r="R35" i="9" s="1"/>
  <c r="T14" i="19" s="1"/>
  <c r="R26" i="3"/>
  <c r="R30" i="3" s="1"/>
  <c r="T12" i="19" s="1"/>
  <c r="R65" i="6"/>
  <c r="R69" i="6" s="1"/>
  <c r="T8" i="19" s="1"/>
  <c r="S13" i="1"/>
  <c r="U13" i="21"/>
  <c r="U14" i="6"/>
  <c r="G8" i="22"/>
  <c r="J12" i="22"/>
  <c r="R25" i="15"/>
  <c r="R29" i="15" s="1"/>
  <c r="T19" i="19" s="1"/>
  <c r="U22" i="4"/>
  <c r="U27" i="9"/>
  <c r="M27" i="16"/>
  <c r="M31" i="16" s="1"/>
  <c r="O21" i="19" s="1"/>
  <c r="G15" i="8"/>
  <c r="R27" i="16"/>
  <c r="R31" i="16" s="1"/>
  <c r="T21" i="19" s="1"/>
  <c r="R29" i="12"/>
  <c r="R33" i="12" s="1"/>
  <c r="T17" i="19" s="1"/>
  <c r="R27" i="21"/>
  <c r="R31" i="21" s="1"/>
  <c r="T15" i="19" s="1"/>
  <c r="R26" i="4"/>
  <c r="R30" i="4" s="1"/>
  <c r="T13" i="19" s="1"/>
  <c r="D29" i="20"/>
  <c r="G17" i="22"/>
  <c r="T13" i="22"/>
  <c r="G14" i="2"/>
  <c r="H11" i="19" s="1"/>
  <c r="F11" i="19" s="1"/>
  <c r="C16" i="16"/>
  <c r="G18" i="12"/>
  <c r="D9" i="11"/>
  <c r="C9" i="1"/>
  <c r="C9" i="6"/>
  <c r="F38" i="13"/>
  <c r="J13" i="22"/>
  <c r="C13" i="14"/>
  <c r="C15" i="14" s="1"/>
  <c r="D15" i="14"/>
  <c r="D20" i="19" s="1"/>
  <c r="C10" i="15"/>
  <c r="F76" i="20"/>
  <c r="G20" i="13"/>
  <c r="G17" i="12"/>
  <c r="G9" i="12"/>
  <c r="U13" i="3"/>
  <c r="F10" i="3"/>
  <c r="F16" i="4"/>
  <c r="F10" i="9"/>
  <c r="T11" i="22"/>
  <c r="J11" i="22"/>
  <c r="F19" i="21"/>
  <c r="F9" i="11"/>
  <c r="F20" i="12"/>
  <c r="T15" i="22"/>
  <c r="F10" i="13"/>
  <c r="J16" i="22"/>
  <c r="U23" i="21"/>
  <c r="U25" i="12"/>
  <c r="U29" i="12" s="1"/>
  <c r="U33" i="12" s="1"/>
  <c r="W17" i="19" s="1"/>
  <c r="F14" i="2"/>
  <c r="P25" i="13"/>
  <c r="U63" i="6"/>
  <c r="U8" i="1"/>
  <c r="U13" i="1" s="1"/>
  <c r="U23" i="16"/>
  <c r="P33" i="6"/>
  <c r="U26" i="6"/>
  <c r="U57" i="6"/>
  <c r="P26" i="6"/>
  <c r="U10" i="22"/>
  <c r="T12" i="22"/>
  <c r="U15" i="22"/>
  <c r="G15" i="14"/>
  <c r="H20" i="19" s="1"/>
  <c r="F20" i="19" s="1"/>
  <c r="G9" i="13"/>
  <c r="H9" i="13" s="1"/>
  <c r="G19" i="3"/>
  <c r="G17" i="1"/>
  <c r="S20" i="22"/>
  <c r="T8" i="22"/>
  <c r="G20" i="9"/>
  <c r="H20" i="9" s="1"/>
  <c r="J20" i="9" s="1"/>
  <c r="G19" i="13"/>
  <c r="G19" i="12"/>
  <c r="G10" i="12"/>
  <c r="G9" i="3"/>
  <c r="H9" i="3" s="1"/>
  <c r="G10" i="1"/>
  <c r="G17" i="15"/>
  <c r="T17" i="22"/>
  <c r="G16" i="15"/>
  <c r="G51" i="6"/>
  <c r="F28" i="4"/>
  <c r="G10" i="22"/>
  <c r="G15" i="22"/>
  <c r="J18" i="22"/>
  <c r="T10" i="22"/>
  <c r="U18" i="22"/>
  <c r="G16" i="3"/>
  <c r="G16" i="1"/>
  <c r="J17" i="22"/>
  <c r="F33" i="9"/>
  <c r="G20" i="15"/>
  <c r="G9" i="15"/>
  <c r="G16" i="13"/>
  <c r="H16" i="13" s="1"/>
  <c r="G16" i="11"/>
  <c r="H16" i="11" s="1"/>
  <c r="G19" i="1"/>
  <c r="F10" i="15"/>
  <c r="F9" i="6"/>
  <c r="G19" i="11"/>
  <c r="H19" i="11" s="1"/>
  <c r="J19" i="11" s="1"/>
  <c r="G16" i="9"/>
  <c r="H16" i="9" s="1"/>
  <c r="G50" i="6"/>
  <c r="G37" i="6"/>
  <c r="H37" i="6" s="1"/>
  <c r="G11" i="6"/>
  <c r="G19" i="15"/>
  <c r="G18" i="11"/>
  <c r="H18" i="11" s="1"/>
  <c r="J18" i="11" s="1"/>
  <c r="G10" i="11"/>
  <c r="H10" i="11" s="1"/>
  <c r="J10" i="11" s="1"/>
  <c r="G49" i="6"/>
  <c r="G10" i="6"/>
  <c r="G18" i="15"/>
  <c r="G17" i="11"/>
  <c r="H17" i="11" s="1"/>
  <c r="J17" i="11" s="1"/>
  <c r="G9" i="9"/>
  <c r="G53" i="6"/>
  <c r="G48" i="6"/>
  <c r="G19" i="6"/>
  <c r="G9" i="16"/>
  <c r="H9" i="16" s="1"/>
  <c r="G17" i="16"/>
  <c r="G18" i="16"/>
  <c r="G19" i="16"/>
  <c r="G9" i="4"/>
  <c r="H9" i="4" s="1"/>
  <c r="G17" i="4"/>
  <c r="G10" i="4"/>
  <c r="G18" i="4"/>
  <c r="G19" i="4"/>
  <c r="F9" i="3"/>
  <c r="F16" i="16"/>
  <c r="G9" i="21"/>
  <c r="H9" i="21" s="1"/>
  <c r="G16" i="21"/>
  <c r="H16" i="21" s="1"/>
  <c r="G10" i="21"/>
  <c r="G17" i="21"/>
  <c r="G18" i="21"/>
  <c r="F9" i="1"/>
  <c r="G18" i="13"/>
  <c r="G18" i="9"/>
  <c r="G18" i="3"/>
  <c r="G17" i="13"/>
  <c r="G17" i="9"/>
  <c r="G17" i="3"/>
  <c r="G40" i="20"/>
  <c r="M74" i="20"/>
  <c r="M78" i="20" s="1"/>
  <c r="O7" i="19" s="1"/>
  <c r="R74" i="20"/>
  <c r="R78" i="20" s="1"/>
  <c r="T7" i="19" s="1"/>
  <c r="N29" i="20"/>
  <c r="L37" i="20"/>
  <c r="O74" i="20"/>
  <c r="O78" i="20" s="1"/>
  <c r="Q7" i="19" s="1"/>
  <c r="F16" i="20"/>
  <c r="F60" i="20"/>
  <c r="F72" i="20"/>
  <c r="L16" i="20"/>
  <c r="L60" i="20"/>
  <c r="T74" i="20"/>
  <c r="T78" i="20" s="1"/>
  <c r="V7" i="19" s="1"/>
  <c r="D91" i="20"/>
  <c r="D36" i="22" s="1"/>
  <c r="U72" i="20"/>
  <c r="U60" i="20"/>
  <c r="P16" i="20"/>
  <c r="S16" i="20"/>
  <c r="N72" i="20"/>
  <c r="F37" i="20"/>
  <c r="L29" i="20"/>
  <c r="L48" i="20"/>
  <c r="L72" i="20"/>
  <c r="P60" i="20"/>
  <c r="U37" i="20"/>
  <c r="U48" i="20"/>
  <c r="P37" i="20"/>
  <c r="P48" i="20"/>
  <c r="U29" i="20"/>
  <c r="G29" i="20"/>
  <c r="F25" i="20"/>
  <c r="F29" i="20" s="1"/>
  <c r="U16" i="20"/>
  <c r="P72" i="20"/>
  <c r="P29" i="20"/>
  <c r="S60" i="20"/>
  <c r="N60" i="20"/>
  <c r="S37" i="20"/>
  <c r="S48" i="20"/>
  <c r="N16" i="20"/>
  <c r="S72" i="20"/>
  <c r="S29" i="20"/>
  <c r="N37" i="20"/>
  <c r="N48" i="20"/>
  <c r="U31" i="9" l="1"/>
  <c r="U35" i="9" s="1"/>
  <c r="W14" i="19" s="1"/>
  <c r="L27" i="11"/>
  <c r="L31" i="11" s="1"/>
  <c r="N16" i="19" s="1"/>
  <c r="U26" i="4"/>
  <c r="U30" i="4" s="1"/>
  <c r="W13" i="19" s="1"/>
  <c r="P27" i="21"/>
  <c r="P31" i="21" s="1"/>
  <c r="R15" i="19" s="1"/>
  <c r="S25" i="15"/>
  <c r="S29" i="15" s="1"/>
  <c r="U19" i="19" s="1"/>
  <c r="N25" i="15"/>
  <c r="N29" i="15" s="1"/>
  <c r="P19" i="19" s="1"/>
  <c r="X18" i="22"/>
  <c r="G21" i="16" s="1"/>
  <c r="H21" i="16" s="1"/>
  <c r="J21" i="16" s="1"/>
  <c r="X16" i="22"/>
  <c r="G21" i="15" s="1"/>
  <c r="H21" i="15" s="1"/>
  <c r="J21" i="15" s="1"/>
  <c r="X10" i="22"/>
  <c r="G20" i="4" s="1"/>
  <c r="H20" i="4" s="1"/>
  <c r="J20" i="4" s="1"/>
  <c r="X9" i="22"/>
  <c r="G20" i="3" s="1"/>
  <c r="F20" i="3" s="1"/>
  <c r="X12" i="22"/>
  <c r="G21" i="21" s="1"/>
  <c r="H21" i="21" s="1"/>
  <c r="J21" i="21" s="1"/>
  <c r="X7" i="22"/>
  <c r="G20" i="1" s="1"/>
  <c r="C20" i="1" s="1"/>
  <c r="X13" i="22"/>
  <c r="G20" i="11" s="1"/>
  <c r="X15" i="22"/>
  <c r="G23" i="13" s="1"/>
  <c r="C23" i="13" s="1"/>
  <c r="X14" i="22"/>
  <c r="G22" i="12" s="1"/>
  <c r="H22" i="12" s="1"/>
  <c r="J22" i="12" s="1"/>
  <c r="X11" i="22"/>
  <c r="G25" i="9" s="1"/>
  <c r="F25" i="9" s="1"/>
  <c r="O14" i="22"/>
  <c r="F79" i="22"/>
  <c r="F80" i="22" s="1"/>
  <c r="F81" i="22" s="1"/>
  <c r="O15" i="22"/>
  <c r="F84" i="22"/>
  <c r="F85" i="22" s="1"/>
  <c r="F86" i="22" s="1"/>
  <c r="F35" i="22"/>
  <c r="F36" i="22" s="1"/>
  <c r="O11" i="22"/>
  <c r="F64" i="22"/>
  <c r="F65" i="22" s="1"/>
  <c r="F66" i="22" s="1"/>
  <c r="O8" i="22"/>
  <c r="F49" i="22"/>
  <c r="F50" i="22" s="1"/>
  <c r="F51" i="22" s="1"/>
  <c r="F20" i="11"/>
  <c r="F20" i="4"/>
  <c r="G55" i="6"/>
  <c r="N20" i="22"/>
  <c r="F104" i="22" s="1"/>
  <c r="C29" i="16"/>
  <c r="C27" i="15"/>
  <c r="C38" i="13"/>
  <c r="C31" i="12"/>
  <c r="C29" i="11"/>
  <c r="C29" i="21"/>
  <c r="C33" i="9"/>
  <c r="C28" i="4"/>
  <c r="C28" i="3"/>
  <c r="C26" i="1"/>
  <c r="C67" i="6"/>
  <c r="C76" i="20"/>
  <c r="L26" i="3"/>
  <c r="L30" i="3" s="1"/>
  <c r="N12" i="19" s="1"/>
  <c r="C20" i="19"/>
  <c r="J12" i="2"/>
  <c r="J14" i="2" s="1"/>
  <c r="K11" i="19" s="1"/>
  <c r="H14" i="2"/>
  <c r="I11" i="19" s="1"/>
  <c r="U36" i="13"/>
  <c r="U40" i="13" s="1"/>
  <c r="W18" i="19" s="1"/>
  <c r="J13" i="8"/>
  <c r="J15" i="8" s="1"/>
  <c r="K9" i="19" s="1"/>
  <c r="H15" i="8"/>
  <c r="I9" i="19" s="1"/>
  <c r="N24" i="1"/>
  <c r="N28" i="1" s="1"/>
  <c r="P10" i="19" s="1"/>
  <c r="L65" i="6"/>
  <c r="L69" i="6" s="1"/>
  <c r="N8" i="19" s="1"/>
  <c r="C9" i="19"/>
  <c r="J13" i="14"/>
  <c r="J15" i="14" s="1"/>
  <c r="K20" i="19" s="1"/>
  <c r="H15" i="14"/>
  <c r="I20" i="19" s="1"/>
  <c r="H18" i="9"/>
  <c r="J18" i="9" s="1"/>
  <c r="C18" i="16"/>
  <c r="H18" i="16"/>
  <c r="J18" i="16" s="1"/>
  <c r="D13" i="15"/>
  <c r="H9" i="15"/>
  <c r="C18" i="13"/>
  <c r="H18" i="13"/>
  <c r="J18" i="13" s="1"/>
  <c r="H17" i="4"/>
  <c r="J17" i="4" s="1"/>
  <c r="C19" i="15"/>
  <c r="H19" i="15"/>
  <c r="J19" i="15" s="1"/>
  <c r="J16" i="9"/>
  <c r="C20" i="15"/>
  <c r="H20" i="15"/>
  <c r="J20" i="15" s="1"/>
  <c r="C16" i="15"/>
  <c r="H16" i="15"/>
  <c r="H9" i="12"/>
  <c r="H13" i="11"/>
  <c r="C18" i="21"/>
  <c r="H18" i="21"/>
  <c r="J18" i="21" s="1"/>
  <c r="J9" i="21"/>
  <c r="C18" i="4"/>
  <c r="H18" i="4"/>
  <c r="J18" i="4" s="1"/>
  <c r="C19" i="16"/>
  <c r="H19" i="16"/>
  <c r="J19" i="16" s="1"/>
  <c r="J16" i="13"/>
  <c r="C17" i="15"/>
  <c r="H17" i="15"/>
  <c r="J17" i="15" s="1"/>
  <c r="C19" i="12"/>
  <c r="H19" i="12"/>
  <c r="J19" i="12" s="1"/>
  <c r="C20" i="13"/>
  <c r="H20" i="13"/>
  <c r="J20" i="13" s="1"/>
  <c r="C18" i="12"/>
  <c r="H18" i="12"/>
  <c r="J18" i="12" s="1"/>
  <c r="J16" i="4"/>
  <c r="C17" i="21"/>
  <c r="H17" i="21"/>
  <c r="J17" i="21" s="1"/>
  <c r="C10" i="4"/>
  <c r="H10" i="4"/>
  <c r="J10" i="4" s="1"/>
  <c r="C18" i="15"/>
  <c r="H18" i="15"/>
  <c r="J18" i="15" s="1"/>
  <c r="C19" i="13"/>
  <c r="H19" i="13"/>
  <c r="J19" i="13" s="1"/>
  <c r="C17" i="9"/>
  <c r="H17" i="9"/>
  <c r="J17" i="9" s="1"/>
  <c r="C10" i="21"/>
  <c r="H10" i="21"/>
  <c r="J10" i="21" s="1"/>
  <c r="C17" i="16"/>
  <c r="H17" i="16"/>
  <c r="C17" i="13"/>
  <c r="H17" i="13"/>
  <c r="J17" i="13" s="1"/>
  <c r="J16" i="21"/>
  <c r="H19" i="4"/>
  <c r="J19" i="4" s="1"/>
  <c r="J9" i="4"/>
  <c r="J9" i="16"/>
  <c r="J13" i="16" s="1"/>
  <c r="H13" i="16"/>
  <c r="D13" i="9"/>
  <c r="H9" i="9"/>
  <c r="J16" i="11"/>
  <c r="C10" i="12"/>
  <c r="H10" i="12"/>
  <c r="J10" i="12" s="1"/>
  <c r="J9" i="13"/>
  <c r="J13" i="13" s="1"/>
  <c r="H13" i="13"/>
  <c r="C17" i="12"/>
  <c r="H17" i="12"/>
  <c r="J13" i="11"/>
  <c r="C17" i="3"/>
  <c r="H17" i="3"/>
  <c r="J17" i="3" s="1"/>
  <c r="H18" i="3"/>
  <c r="J18" i="3" s="1"/>
  <c r="C16" i="3"/>
  <c r="H16" i="3"/>
  <c r="J9" i="3"/>
  <c r="J13" i="3" s="1"/>
  <c r="H13" i="3"/>
  <c r="C19" i="3"/>
  <c r="H19" i="3"/>
  <c r="J19" i="3" s="1"/>
  <c r="D13" i="1"/>
  <c r="H10" i="1"/>
  <c r="C17" i="1"/>
  <c r="H17" i="1"/>
  <c r="J17" i="1" s="1"/>
  <c r="P24" i="1"/>
  <c r="P28" i="1" s="1"/>
  <c r="R10" i="19" s="1"/>
  <c r="C19" i="1"/>
  <c r="H19" i="1"/>
  <c r="J19" i="1" s="1"/>
  <c r="C16" i="1"/>
  <c r="H16" i="1"/>
  <c r="C18" i="1"/>
  <c r="H18" i="1"/>
  <c r="J18" i="1" s="1"/>
  <c r="C53" i="6"/>
  <c r="H53" i="6"/>
  <c r="J53" i="6" s="1"/>
  <c r="C10" i="6"/>
  <c r="H10" i="6"/>
  <c r="C51" i="6"/>
  <c r="H51" i="6"/>
  <c r="J51" i="6" s="1"/>
  <c r="C49" i="6"/>
  <c r="H49" i="6"/>
  <c r="J49" i="6" s="1"/>
  <c r="C11" i="6"/>
  <c r="H11" i="6"/>
  <c r="J11" i="6" s="1"/>
  <c r="N36" i="13"/>
  <c r="N40" i="13" s="1"/>
  <c r="P18" i="19" s="1"/>
  <c r="N27" i="11"/>
  <c r="N31" i="11" s="1"/>
  <c r="P16" i="19" s="1"/>
  <c r="P25" i="15"/>
  <c r="P29" i="15" s="1"/>
  <c r="R19" i="19" s="1"/>
  <c r="N29" i="12"/>
  <c r="N33" i="12" s="1"/>
  <c r="P17" i="19" s="1"/>
  <c r="J17" i="6"/>
  <c r="C48" i="6"/>
  <c r="H48" i="6"/>
  <c r="C50" i="6"/>
  <c r="H50" i="6"/>
  <c r="J50" i="6" s="1"/>
  <c r="D48" i="20"/>
  <c r="D74" i="20" s="1"/>
  <c r="D78" i="20" s="1"/>
  <c r="D7" i="19" s="1"/>
  <c r="H40" i="20"/>
  <c r="D26" i="6"/>
  <c r="H19" i="6"/>
  <c r="J19" i="6" s="1"/>
  <c r="J37" i="6"/>
  <c r="J44" i="6" s="1"/>
  <c r="H44" i="6"/>
  <c r="L29" i="12"/>
  <c r="L33" i="12" s="1"/>
  <c r="N17" i="19" s="1"/>
  <c r="N65" i="6"/>
  <c r="N69" i="6" s="1"/>
  <c r="P8" i="19" s="1"/>
  <c r="P36" i="13"/>
  <c r="P40" i="13" s="1"/>
  <c r="R18" i="19" s="1"/>
  <c r="S65" i="6"/>
  <c r="S69" i="6" s="1"/>
  <c r="U8" i="19" s="1"/>
  <c r="L27" i="16"/>
  <c r="L31" i="16" s="1"/>
  <c r="N21" i="19" s="1"/>
  <c r="L27" i="21"/>
  <c r="L31" i="21" s="1"/>
  <c r="N15" i="19" s="1"/>
  <c r="F18" i="1"/>
  <c r="U27" i="16"/>
  <c r="U31" i="16" s="1"/>
  <c r="W21" i="19" s="1"/>
  <c r="L36" i="13"/>
  <c r="L40" i="13" s="1"/>
  <c r="N18" i="19" s="1"/>
  <c r="U24" i="1"/>
  <c r="U28" i="1" s="1"/>
  <c r="W10" i="19" s="1"/>
  <c r="S27" i="16"/>
  <c r="S31" i="16" s="1"/>
  <c r="U21" i="19" s="1"/>
  <c r="S31" i="9"/>
  <c r="S35" i="9" s="1"/>
  <c r="U14" i="19" s="1"/>
  <c r="L31" i="9"/>
  <c r="L35" i="9" s="1"/>
  <c r="N14" i="19" s="1"/>
  <c r="P65" i="6"/>
  <c r="P69" i="6" s="1"/>
  <c r="R8" i="19" s="1"/>
  <c r="U26" i="3"/>
  <c r="U30" i="3" s="1"/>
  <c r="W12" i="19" s="1"/>
  <c r="S26" i="3"/>
  <c r="S30" i="3" s="1"/>
  <c r="U12" i="19" s="1"/>
  <c r="S27" i="11"/>
  <c r="S31" i="11" s="1"/>
  <c r="U16" i="19" s="1"/>
  <c r="N27" i="16"/>
  <c r="N31" i="16" s="1"/>
  <c r="P21" i="19" s="1"/>
  <c r="Q23" i="19"/>
  <c r="V23" i="19"/>
  <c r="U27" i="21"/>
  <c r="U31" i="21" s="1"/>
  <c r="W15" i="19" s="1"/>
  <c r="S24" i="1"/>
  <c r="S28" i="1" s="1"/>
  <c r="U10" i="19" s="1"/>
  <c r="S29" i="12"/>
  <c r="S33" i="12" s="1"/>
  <c r="U17" i="19" s="1"/>
  <c r="P31" i="9"/>
  <c r="P35" i="9" s="1"/>
  <c r="R14" i="19" s="1"/>
  <c r="P29" i="12"/>
  <c r="P33" i="12" s="1"/>
  <c r="R17" i="19" s="1"/>
  <c r="S27" i="21"/>
  <c r="S31" i="21" s="1"/>
  <c r="U15" i="19" s="1"/>
  <c r="S26" i="4"/>
  <c r="S30" i="4" s="1"/>
  <c r="U13" i="19" s="1"/>
  <c r="O23" i="19"/>
  <c r="G13" i="1"/>
  <c r="F20" i="13"/>
  <c r="F18" i="12"/>
  <c r="F13" i="3"/>
  <c r="T23" i="19"/>
  <c r="G20" i="22"/>
  <c r="G11" i="19"/>
  <c r="H9" i="19"/>
  <c r="F9" i="19" s="1"/>
  <c r="P27" i="11"/>
  <c r="P31" i="11" s="1"/>
  <c r="R16" i="19" s="1"/>
  <c r="F9" i="9"/>
  <c r="F13" i="9" s="1"/>
  <c r="C16" i="9"/>
  <c r="C10" i="11"/>
  <c r="C19" i="11"/>
  <c r="C25" i="20"/>
  <c r="C29" i="20" s="1"/>
  <c r="C18" i="11"/>
  <c r="C17" i="11"/>
  <c r="D13" i="13"/>
  <c r="D13" i="16"/>
  <c r="F9" i="13"/>
  <c r="F13" i="13" s="1"/>
  <c r="D44" i="6"/>
  <c r="C9" i="21"/>
  <c r="G13" i="13"/>
  <c r="F16" i="13"/>
  <c r="G13" i="12"/>
  <c r="D13" i="3"/>
  <c r="C9" i="11"/>
  <c r="C12" i="2"/>
  <c r="C14" i="2" s="1"/>
  <c r="D14" i="2"/>
  <c r="D11" i="19" s="1"/>
  <c r="F9" i="12"/>
  <c r="F17" i="12"/>
  <c r="F16" i="1"/>
  <c r="F19" i="1"/>
  <c r="F10" i="1"/>
  <c r="F13" i="1" s="1"/>
  <c r="C10" i="1"/>
  <c r="C13" i="1" s="1"/>
  <c r="F17" i="1"/>
  <c r="F18" i="3"/>
  <c r="C18" i="3"/>
  <c r="F16" i="3"/>
  <c r="F19" i="3"/>
  <c r="F17" i="3"/>
  <c r="G13" i="3"/>
  <c r="F18" i="4"/>
  <c r="F10" i="4"/>
  <c r="F17" i="4"/>
  <c r="C17" i="4"/>
  <c r="F19" i="4"/>
  <c r="F18" i="9"/>
  <c r="C18" i="9"/>
  <c r="F16" i="9"/>
  <c r="F17" i="9"/>
  <c r="F20" i="9"/>
  <c r="C20" i="9"/>
  <c r="G13" i="9"/>
  <c r="J20" i="22"/>
  <c r="F18" i="21"/>
  <c r="F17" i="21"/>
  <c r="F10" i="21"/>
  <c r="F17" i="11"/>
  <c r="F19" i="11"/>
  <c r="F16" i="11"/>
  <c r="F18" i="11"/>
  <c r="F19" i="12"/>
  <c r="F10" i="12"/>
  <c r="F18" i="13"/>
  <c r="F17" i="13"/>
  <c r="F19" i="13"/>
  <c r="F19" i="15"/>
  <c r="F16" i="15"/>
  <c r="F9" i="15"/>
  <c r="F13" i="15" s="1"/>
  <c r="F18" i="15"/>
  <c r="G13" i="15"/>
  <c r="F20" i="15"/>
  <c r="F17" i="15"/>
  <c r="F17" i="16"/>
  <c r="F18" i="16"/>
  <c r="F19" i="16"/>
  <c r="G26" i="6"/>
  <c r="F10" i="6"/>
  <c r="F50" i="6"/>
  <c r="F51" i="6"/>
  <c r="F48" i="6"/>
  <c r="F49" i="6"/>
  <c r="F53" i="6"/>
  <c r="F11" i="6"/>
  <c r="G48" i="20"/>
  <c r="G74" i="20" s="1"/>
  <c r="G78" i="20" s="1"/>
  <c r="H7" i="19" s="1"/>
  <c r="F7" i="19" s="1"/>
  <c r="G14" i="6"/>
  <c r="U20" i="22"/>
  <c r="U21" i="22" s="1"/>
  <c r="U65" i="6"/>
  <c r="U69" i="6" s="1"/>
  <c r="W8" i="19" s="1"/>
  <c r="G22" i="1"/>
  <c r="F40" i="20"/>
  <c r="F48" i="20" s="1"/>
  <c r="F74" i="20" s="1"/>
  <c r="F78" i="20" s="1"/>
  <c r="G7" i="19" s="1"/>
  <c r="T20" i="22"/>
  <c r="F19" i="6"/>
  <c r="F26" i="6" s="1"/>
  <c r="G25" i="13"/>
  <c r="G13" i="11"/>
  <c r="F10" i="11"/>
  <c r="F13" i="11" s="1"/>
  <c r="F37" i="6"/>
  <c r="F44" i="6" s="1"/>
  <c r="G44" i="6"/>
  <c r="G23" i="11"/>
  <c r="F16" i="21"/>
  <c r="G23" i="21"/>
  <c r="F9" i="4"/>
  <c r="G13" i="4"/>
  <c r="F9" i="21"/>
  <c r="G13" i="21"/>
  <c r="G23" i="16"/>
  <c r="G22" i="3"/>
  <c r="F9" i="16"/>
  <c r="F13" i="16" s="1"/>
  <c r="G13" i="16"/>
  <c r="G22" i="4"/>
  <c r="L74" i="20"/>
  <c r="L78" i="20" s="1"/>
  <c r="N7" i="19" s="1"/>
  <c r="P74" i="20"/>
  <c r="P78" i="20" s="1"/>
  <c r="R7" i="19" s="1"/>
  <c r="S74" i="20"/>
  <c r="S78" i="20" s="1"/>
  <c r="U7" i="19" s="1"/>
  <c r="N74" i="20"/>
  <c r="N78" i="20" s="1"/>
  <c r="P7" i="19" s="1"/>
  <c r="U74" i="20"/>
  <c r="U78" i="20" s="1"/>
  <c r="W7" i="19" s="1"/>
  <c r="C25" i="9" l="1"/>
  <c r="H25" i="9"/>
  <c r="J25" i="9" s="1"/>
  <c r="F20" i="1"/>
  <c r="H20" i="1"/>
  <c r="J20" i="1" s="1"/>
  <c r="C21" i="16"/>
  <c r="G27" i="9"/>
  <c r="C20" i="3"/>
  <c r="H23" i="13"/>
  <c r="J23" i="13" s="1"/>
  <c r="F21" i="16"/>
  <c r="Z9" i="19"/>
  <c r="W15" i="8"/>
  <c r="Y9" i="19" s="1"/>
  <c r="C19" i="6"/>
  <c r="C26" i="6" s="1"/>
  <c r="H20" i="3"/>
  <c r="J20" i="3" s="1"/>
  <c r="C20" i="4"/>
  <c r="D23" i="21"/>
  <c r="F21" i="21"/>
  <c r="F23" i="21" s="1"/>
  <c r="F22" i="12"/>
  <c r="C22" i="12"/>
  <c r="G25" i="12"/>
  <c r="G29" i="12" s="1"/>
  <c r="G33" i="12" s="1"/>
  <c r="C9" i="15"/>
  <c r="C13" i="15" s="1"/>
  <c r="C21" i="15"/>
  <c r="C23" i="15" s="1"/>
  <c r="G23" i="15"/>
  <c r="F21" i="15"/>
  <c r="F23" i="15" s="1"/>
  <c r="F25" i="15" s="1"/>
  <c r="F29" i="15" s="1"/>
  <c r="G19" i="19" s="1"/>
  <c r="X20" i="22"/>
  <c r="C21" i="21"/>
  <c r="F23" i="13"/>
  <c r="H20" i="11"/>
  <c r="C20" i="11"/>
  <c r="F103" i="22"/>
  <c r="O20" i="22"/>
  <c r="H55" i="6"/>
  <c r="J55" i="6" s="1"/>
  <c r="C55" i="6"/>
  <c r="C57" i="6" s="1"/>
  <c r="F55" i="6"/>
  <c r="F57" i="6" s="1"/>
  <c r="G57" i="6"/>
  <c r="Z20" i="19"/>
  <c r="C11" i="19"/>
  <c r="Z11" i="19" s="1"/>
  <c r="W14" i="2"/>
  <c r="Y11" i="19" s="1"/>
  <c r="W15" i="14"/>
  <c r="Y20" i="19" s="1"/>
  <c r="C40" i="20"/>
  <c r="C48" i="20" s="1"/>
  <c r="C74" i="20" s="1"/>
  <c r="C78" i="20" s="1"/>
  <c r="C9" i="9"/>
  <c r="C13" i="9" s="1"/>
  <c r="D22" i="4"/>
  <c r="D25" i="12"/>
  <c r="D23" i="15"/>
  <c r="D25" i="15" s="1"/>
  <c r="D29" i="15" s="1"/>
  <c r="D19" i="19" s="1"/>
  <c r="D22" i="3"/>
  <c r="D26" i="3" s="1"/>
  <c r="D30" i="3" s="1"/>
  <c r="D12" i="19" s="1"/>
  <c r="G31" i="9"/>
  <c r="G35" i="9" s="1"/>
  <c r="H14" i="19" s="1"/>
  <c r="F14" i="19" s="1"/>
  <c r="H13" i="4"/>
  <c r="J23" i="21"/>
  <c r="J13" i="21"/>
  <c r="D13" i="12"/>
  <c r="D57" i="6"/>
  <c r="H22" i="4"/>
  <c r="N23" i="19"/>
  <c r="D23" i="16"/>
  <c r="D27" i="16" s="1"/>
  <c r="D31" i="16" s="1"/>
  <c r="D21" i="19" s="1"/>
  <c r="J17" i="12"/>
  <c r="J25" i="12" s="1"/>
  <c r="H25" i="12"/>
  <c r="J9" i="9"/>
  <c r="J13" i="9" s="1"/>
  <c r="H13" i="9"/>
  <c r="H23" i="16"/>
  <c r="H27" i="16" s="1"/>
  <c r="H31" i="16" s="1"/>
  <c r="J17" i="16"/>
  <c r="J23" i="16" s="1"/>
  <c r="J27" i="16" s="1"/>
  <c r="J31" i="16" s="1"/>
  <c r="K21" i="19" s="1"/>
  <c r="J25" i="13"/>
  <c r="C19" i="4"/>
  <c r="C22" i="4" s="1"/>
  <c r="C9" i="12"/>
  <c r="C13" i="12" s="1"/>
  <c r="D25" i="13"/>
  <c r="D36" i="13" s="1"/>
  <c r="D40" i="13" s="1"/>
  <c r="D18" i="19" s="1"/>
  <c r="D14" i="6"/>
  <c r="J13" i="4"/>
  <c r="H23" i="21"/>
  <c r="H23" i="15"/>
  <c r="J16" i="15"/>
  <c r="J23" i="15" s="1"/>
  <c r="J27" i="9"/>
  <c r="J9" i="15"/>
  <c r="J13" i="15" s="1"/>
  <c r="H13" i="15"/>
  <c r="J9" i="12"/>
  <c r="J13" i="12" s="1"/>
  <c r="H13" i="12"/>
  <c r="D13" i="4"/>
  <c r="F13" i="12"/>
  <c r="D22" i="1"/>
  <c r="D24" i="1" s="1"/>
  <c r="D28" i="1" s="1"/>
  <c r="D10" i="19" s="1"/>
  <c r="J22" i="4"/>
  <c r="H13" i="21"/>
  <c r="H27" i="9"/>
  <c r="H22" i="3"/>
  <c r="H26" i="3" s="1"/>
  <c r="H30" i="3" s="1"/>
  <c r="J16" i="3"/>
  <c r="J10" i="1"/>
  <c r="J13" i="1" s="1"/>
  <c r="H13" i="1"/>
  <c r="J16" i="1"/>
  <c r="H48" i="20"/>
  <c r="H74" i="20" s="1"/>
  <c r="H78" i="20" s="1"/>
  <c r="I7" i="19" s="1"/>
  <c r="J40" i="20"/>
  <c r="J48" i="20" s="1"/>
  <c r="J74" i="20" s="1"/>
  <c r="J78" i="20" s="1"/>
  <c r="K7" i="19" s="1"/>
  <c r="J48" i="6"/>
  <c r="J10" i="6"/>
  <c r="J14" i="6" s="1"/>
  <c r="H14" i="6"/>
  <c r="H26" i="6"/>
  <c r="J26" i="6"/>
  <c r="U23" i="19"/>
  <c r="G24" i="1"/>
  <c r="G28" i="1" s="1"/>
  <c r="P23" i="19"/>
  <c r="F14" i="6"/>
  <c r="R23" i="19"/>
  <c r="F22" i="4"/>
  <c r="D27" i="9"/>
  <c r="D31" i="9" s="1"/>
  <c r="D35" i="9" s="1"/>
  <c r="D14" i="19" s="1"/>
  <c r="G26" i="3"/>
  <c r="G30" i="3" s="1"/>
  <c r="C9" i="3"/>
  <c r="C13" i="3" s="1"/>
  <c r="C13" i="11"/>
  <c r="F27" i="9"/>
  <c r="F31" i="9" s="1"/>
  <c r="C37" i="6"/>
  <c r="C44" i="6" s="1"/>
  <c r="D23" i="11"/>
  <c r="D13" i="11"/>
  <c r="G25" i="15"/>
  <c r="G29" i="15" s="1"/>
  <c r="C16" i="11"/>
  <c r="F13" i="21"/>
  <c r="C9" i="4"/>
  <c r="C13" i="4" s="1"/>
  <c r="C9" i="13"/>
  <c r="C13" i="13" s="1"/>
  <c r="F25" i="12"/>
  <c r="C16" i="13"/>
  <c r="C25" i="13" s="1"/>
  <c r="D13" i="21"/>
  <c r="W23" i="19"/>
  <c r="F13" i="4"/>
  <c r="C13" i="21"/>
  <c r="C9" i="16"/>
  <c r="C13" i="16" s="1"/>
  <c r="C16" i="21"/>
  <c r="C25" i="12"/>
  <c r="F22" i="3"/>
  <c r="F26" i="3" s="1"/>
  <c r="F30" i="3" s="1"/>
  <c r="G12" i="19" s="1"/>
  <c r="C22" i="1"/>
  <c r="C24" i="1" s="1"/>
  <c r="C28" i="1" s="1"/>
  <c r="C27" i="9"/>
  <c r="F23" i="16"/>
  <c r="F27" i="16" s="1"/>
  <c r="F31" i="16" s="1"/>
  <c r="G21" i="19" s="1"/>
  <c r="F25" i="13"/>
  <c r="F23" i="11"/>
  <c r="F27" i="11" s="1"/>
  <c r="F31" i="11" s="1"/>
  <c r="G16" i="19" s="1"/>
  <c r="F22" i="1"/>
  <c r="F24" i="1" s="1"/>
  <c r="F28" i="1" s="1"/>
  <c r="G10" i="19" s="1"/>
  <c r="C22" i="3"/>
  <c r="C23" i="16"/>
  <c r="C14" i="6"/>
  <c r="G27" i="21"/>
  <c r="G31" i="21" s="1"/>
  <c r="G26" i="4"/>
  <c r="G30" i="4" s="1"/>
  <c r="G27" i="11"/>
  <c r="G31" i="11" s="1"/>
  <c r="G27" i="16"/>
  <c r="G31" i="16" s="1"/>
  <c r="H25" i="13" l="1"/>
  <c r="J22" i="1"/>
  <c r="C23" i="11"/>
  <c r="H22" i="1"/>
  <c r="H24" i="1" s="1"/>
  <c r="H28" i="1" s="1"/>
  <c r="C25" i="15"/>
  <c r="C29" i="15" s="1"/>
  <c r="D27" i="21"/>
  <c r="D31" i="21" s="1"/>
  <c r="D15" i="19" s="1"/>
  <c r="J22" i="3"/>
  <c r="J26" i="3" s="1"/>
  <c r="J30" i="3" s="1"/>
  <c r="K12" i="19" s="1"/>
  <c r="AA9" i="19"/>
  <c r="C31" i="9"/>
  <c r="C35" i="9" s="1"/>
  <c r="C14" i="19" s="1"/>
  <c r="C23" i="21"/>
  <c r="C27" i="21" s="1"/>
  <c r="C31" i="21" s="1"/>
  <c r="H57" i="6"/>
  <c r="J20" i="11"/>
  <c r="J23" i="11" s="1"/>
  <c r="J27" i="11" s="1"/>
  <c r="J31" i="11" s="1"/>
  <c r="K16" i="19" s="1"/>
  <c r="H23" i="11"/>
  <c r="H27" i="11" s="1"/>
  <c r="H31" i="11" s="1"/>
  <c r="I16" i="19" s="1"/>
  <c r="AA20" i="19"/>
  <c r="H25" i="15"/>
  <c r="H29" i="15" s="1"/>
  <c r="I19" i="19" s="1"/>
  <c r="AA11" i="19"/>
  <c r="J57" i="6"/>
  <c r="W78" i="20"/>
  <c r="Y7" i="19" s="1"/>
  <c r="F29" i="12"/>
  <c r="F33" i="12" s="1"/>
  <c r="G17" i="19" s="1"/>
  <c r="C10" i="19"/>
  <c r="C19" i="19"/>
  <c r="D26" i="4"/>
  <c r="D30" i="4" s="1"/>
  <c r="D13" i="19" s="1"/>
  <c r="D65" i="6"/>
  <c r="D69" i="6" s="1"/>
  <c r="D8" i="19" s="1"/>
  <c r="D29" i="12"/>
  <c r="D33" i="12" s="1"/>
  <c r="D17" i="19" s="1"/>
  <c r="H26" i="4"/>
  <c r="H30" i="4" s="1"/>
  <c r="I13" i="19" s="1"/>
  <c r="F26" i="4"/>
  <c r="F30" i="4" s="1"/>
  <c r="G13" i="19" s="1"/>
  <c r="H27" i="21"/>
  <c r="H31" i="21" s="1"/>
  <c r="I15" i="19" s="1"/>
  <c r="J29" i="12"/>
  <c r="J33" i="12" s="1"/>
  <c r="K17" i="19" s="1"/>
  <c r="H29" i="12"/>
  <c r="H33" i="12" s="1"/>
  <c r="I17" i="19" s="1"/>
  <c r="J31" i="9"/>
  <c r="J35" i="9" s="1"/>
  <c r="K14" i="19" s="1"/>
  <c r="J27" i="21"/>
  <c r="J31" i="21" s="1"/>
  <c r="K15" i="19" s="1"/>
  <c r="C7" i="19"/>
  <c r="Z7" i="19" s="1"/>
  <c r="I21" i="19"/>
  <c r="H21" i="19"/>
  <c r="H19" i="19"/>
  <c r="F19" i="19" s="1"/>
  <c r="H15" i="19"/>
  <c r="F15" i="19" s="1"/>
  <c r="H12" i="19"/>
  <c r="F12" i="19" s="1"/>
  <c r="H17" i="19"/>
  <c r="H10" i="19"/>
  <c r="F10" i="19" s="1"/>
  <c r="H13" i="19"/>
  <c r="I12" i="19"/>
  <c r="J26" i="4"/>
  <c r="J30" i="4" s="1"/>
  <c r="K13" i="19" s="1"/>
  <c r="H31" i="9"/>
  <c r="H35" i="9" s="1"/>
  <c r="J25" i="15"/>
  <c r="J29" i="15" s="1"/>
  <c r="W29" i="15" s="1"/>
  <c r="F35" i="9"/>
  <c r="G14" i="19" s="1"/>
  <c r="J24" i="1"/>
  <c r="J28" i="1" s="1"/>
  <c r="C27" i="11"/>
  <c r="C31" i="11" s="1"/>
  <c r="C26" i="3"/>
  <c r="C30" i="3" s="1"/>
  <c r="C27" i="16"/>
  <c r="C31" i="16" s="1"/>
  <c r="W31" i="16" s="1"/>
  <c r="C29" i="12"/>
  <c r="C33" i="12" s="1"/>
  <c r="F27" i="21"/>
  <c r="F31" i="21" s="1"/>
  <c r="G15" i="19" s="1"/>
  <c r="D27" i="11"/>
  <c r="D31" i="11" s="1"/>
  <c r="D16" i="19" s="1"/>
  <c r="C26" i="4"/>
  <c r="C30" i="4" s="1"/>
  <c r="H16" i="19"/>
  <c r="F16" i="19" s="1"/>
  <c r="D23" i="19" l="1"/>
  <c r="W28" i="1"/>
  <c r="Y10" i="19" s="1"/>
  <c r="C13" i="19"/>
  <c r="W30" i="4"/>
  <c r="Y13" i="19" s="1"/>
  <c r="C15" i="19"/>
  <c r="Z15" i="19" s="1"/>
  <c r="W31" i="21"/>
  <c r="Y15" i="19" s="1"/>
  <c r="W35" i="9"/>
  <c r="Y14" i="19" s="1"/>
  <c r="C17" i="19"/>
  <c r="W33" i="12"/>
  <c r="Y17" i="19" s="1"/>
  <c r="C12" i="19"/>
  <c r="Z12" i="19" s="1"/>
  <c r="W30" i="3"/>
  <c r="Y12" i="19" s="1"/>
  <c r="C16" i="19"/>
  <c r="Z16" i="19" s="1"/>
  <c r="W31" i="11"/>
  <c r="Y16" i="19" s="1"/>
  <c r="AA7" i="19"/>
  <c r="F17" i="19"/>
  <c r="F13" i="19"/>
  <c r="F21" i="19"/>
  <c r="Y19" i="19"/>
  <c r="K19" i="19"/>
  <c r="Z19" i="19" s="1"/>
  <c r="C21" i="19"/>
  <c r="Y21" i="19"/>
  <c r="K10" i="19"/>
  <c r="I10" i="19"/>
  <c r="I14" i="19"/>
  <c r="Z14" i="19" s="1"/>
  <c r="G23" i="8"/>
  <c r="G22" i="8"/>
  <c r="L22" i="8" s="1"/>
  <c r="G29" i="13" s="1"/>
  <c r="H29" i="13" s="1"/>
  <c r="Z17" i="19" l="1"/>
  <c r="AA17" i="19" s="1"/>
  <c r="Z21" i="19"/>
  <c r="AA21" i="19" s="1"/>
  <c r="Z13" i="19"/>
  <c r="AA13" i="19" s="1"/>
  <c r="AA12" i="19"/>
  <c r="AA16" i="19"/>
  <c r="H32" i="13"/>
  <c r="H36" i="13" s="1"/>
  <c r="H40" i="13" s="1"/>
  <c r="I18" i="19" s="1"/>
  <c r="J29" i="13"/>
  <c r="J32" i="13" s="1"/>
  <c r="J36" i="13" s="1"/>
  <c r="J40" i="13" s="1"/>
  <c r="K18" i="19" s="1"/>
  <c r="Z10" i="19"/>
  <c r="AA10" i="19" s="1"/>
  <c r="AA19" i="19"/>
  <c r="AA14" i="19"/>
  <c r="AA15" i="19"/>
  <c r="G24" i="8"/>
  <c r="L23" i="8"/>
  <c r="G61" i="6" s="1"/>
  <c r="F61" i="6" s="1"/>
  <c r="F63" i="6" s="1"/>
  <c r="F65" i="6" s="1"/>
  <c r="F69" i="6" s="1"/>
  <c r="C29" i="13"/>
  <c r="C32" i="13" s="1"/>
  <c r="C36" i="13" s="1"/>
  <c r="C40" i="13" s="1"/>
  <c r="G32" i="13"/>
  <c r="G36" i="13" s="1"/>
  <c r="G40" i="13" s="1"/>
  <c r="F29" i="13"/>
  <c r="F32" i="13" s="1"/>
  <c r="F36" i="13" s="1"/>
  <c r="F40" i="13" s="1"/>
  <c r="C18" i="19" l="1"/>
  <c r="W40" i="13"/>
  <c r="Y18" i="19" s="1"/>
  <c r="H18" i="19"/>
  <c r="C61" i="6"/>
  <c r="C63" i="6" s="1"/>
  <c r="C65" i="6" s="1"/>
  <c r="C69" i="6" s="1"/>
  <c r="H61" i="6"/>
  <c r="G63" i="6"/>
  <c r="G65" i="6" s="1"/>
  <c r="G69" i="6" s="1"/>
  <c r="M24" i="8"/>
  <c r="G18" i="19"/>
  <c r="G8" i="19"/>
  <c r="C8" i="19" l="1"/>
  <c r="C23" i="19" s="1"/>
  <c r="F18" i="19"/>
  <c r="Z18" i="19" s="1"/>
  <c r="AA18" i="19" s="1"/>
  <c r="H8" i="19"/>
  <c r="F8" i="19" s="1"/>
  <c r="J23" i="19"/>
  <c r="J61" i="6"/>
  <c r="J63" i="6" s="1"/>
  <c r="J65" i="6" s="1"/>
  <c r="J69" i="6" s="1"/>
  <c r="K8" i="19" s="1"/>
  <c r="H63" i="6"/>
  <c r="H65" i="6" s="1"/>
  <c r="H69" i="6" s="1"/>
  <c r="G23" i="19"/>
  <c r="W69" i="6" l="1"/>
  <c r="Y8" i="19" s="1"/>
  <c r="F23" i="19"/>
  <c r="H23" i="19"/>
  <c r="I8" i="19"/>
  <c r="Z8" i="19" s="1"/>
  <c r="K23" i="19"/>
  <c r="I23" i="19" l="1"/>
  <c r="AA8" i="19"/>
</calcChain>
</file>

<file path=xl/sharedStrings.xml><?xml version="1.0" encoding="utf-8"?>
<sst xmlns="http://schemas.openxmlformats.org/spreadsheetml/2006/main" count="1119" uniqueCount="353">
  <si>
    <t>Maintenance costs</t>
  </si>
  <si>
    <t>Total Expenditure</t>
  </si>
  <si>
    <t>Insurance</t>
  </si>
  <si>
    <t>Lightning Conductor</t>
  </si>
  <si>
    <t>Staff Costs</t>
  </si>
  <si>
    <t>Leisure Facilities</t>
  </si>
  <si>
    <t>Pool Chemicals</t>
  </si>
  <si>
    <t>Gas</t>
  </si>
  <si>
    <t>INSURANCE</t>
  </si>
  <si>
    <t>Directors &amp; Officers</t>
  </si>
  <si>
    <t>Garages</t>
  </si>
  <si>
    <t>Day to Day Maintenance</t>
  </si>
  <si>
    <t>Fire Risk Assessment/Signage</t>
  </si>
  <si>
    <t>Fire Extinguisher Maintenance</t>
  </si>
  <si>
    <t>Window Cleaning</t>
  </si>
  <si>
    <t>Communal Electricity</t>
  </si>
  <si>
    <t>Consumables and Light Bulbs</t>
  </si>
  <si>
    <t>Smoke Ventilation</t>
  </si>
  <si>
    <t>Lift Maintenance/Annual Service</t>
  </si>
  <si>
    <t>Bank Charges</t>
  </si>
  <si>
    <t>Communal Costs</t>
  </si>
  <si>
    <t>Internal Cleaning</t>
  </si>
  <si>
    <t>Day to day Maintenance</t>
  </si>
  <si>
    <t>Maintenance Costs</t>
  </si>
  <si>
    <t>Emergency Lighting</t>
  </si>
  <si>
    <t>Fire Alarm Maintenance</t>
  </si>
  <si>
    <t>Lift Maintenance Costs</t>
  </si>
  <si>
    <t>Administration Costs</t>
  </si>
  <si>
    <t>Office Telephone</t>
  </si>
  <si>
    <t>Office Broadband</t>
  </si>
  <si>
    <t>Office Stationery and Consumables</t>
  </si>
  <si>
    <t>Sundry Expenses</t>
  </si>
  <si>
    <t>Cleaning Costs</t>
  </si>
  <si>
    <t>Pool Costs</t>
  </si>
  <si>
    <t>Electricity</t>
  </si>
  <si>
    <t>Lift Costs</t>
  </si>
  <si>
    <t>Estate &amp; Grounds Maintenance</t>
  </si>
  <si>
    <t>Utilities &amp; Electrical Costs</t>
  </si>
  <si>
    <t>Estate Electricity</t>
  </si>
  <si>
    <t>Health and Safety</t>
  </si>
  <si>
    <t>Uniforms (including Protective Clothing)</t>
  </si>
  <si>
    <t xml:space="preserve">Emergency Lighting </t>
  </si>
  <si>
    <t>Telephone Lines for Gates</t>
  </si>
  <si>
    <t>Lift Telephone Lines</t>
  </si>
  <si>
    <t>Budget</t>
  </si>
  <si>
    <t>Pool Maintenance and Repairs</t>
  </si>
  <si>
    <t>Spa Maintenance and Repairs</t>
  </si>
  <si>
    <t>Gym Maintenance and Repairs</t>
  </si>
  <si>
    <t>Boiler Maintenance and Repairs</t>
  </si>
  <si>
    <t>Air Handling Maintenance and Repairs</t>
  </si>
  <si>
    <t>Emergency Light Testing</t>
  </si>
  <si>
    <t>Water Cooler</t>
  </si>
  <si>
    <t>Electrical and Lighting Repairs</t>
  </si>
  <si>
    <t>Alexandra</t>
  </si>
  <si>
    <t>Alexandra Building</t>
  </si>
  <si>
    <t>Cliffe</t>
  </si>
  <si>
    <t>Edward</t>
  </si>
  <si>
    <t>Kingswood</t>
  </si>
  <si>
    <t>Muxlow</t>
  </si>
  <si>
    <t>Peveril</t>
  </si>
  <si>
    <t>Sheaf 1</t>
  </si>
  <si>
    <t>Sheaf 2</t>
  </si>
  <si>
    <t>Sheaf 3 Apartments</t>
  </si>
  <si>
    <t>Sheaf 3 Building</t>
  </si>
  <si>
    <t>Victoria</t>
  </si>
  <si>
    <t>Leisure Suite</t>
  </si>
  <si>
    <t>Security measures</t>
  </si>
  <si>
    <t>Security</t>
  </si>
  <si>
    <t>Commercial Combined</t>
  </si>
  <si>
    <t>Emergency Lighting Testing</t>
  </si>
  <si>
    <t>Estate Lighting and Repairs</t>
  </si>
  <si>
    <t>Lone Worker Protection</t>
  </si>
  <si>
    <t>Window Cleaning - external</t>
  </si>
  <si>
    <t>Window and Glass Cleaning - internal</t>
  </si>
  <si>
    <t>Sauna Maintenance and Repairs</t>
  </si>
  <si>
    <t>Roads, Drains &amp; Severe Weather Maintenance</t>
  </si>
  <si>
    <t>Community, Communications &amp; Website</t>
  </si>
  <si>
    <t>General Staff Training</t>
  </si>
  <si>
    <t>Staff Training Regulatory (Health &amp; Safety)</t>
  </si>
  <si>
    <t>Fire Alarm System Maintenance</t>
  </si>
  <si>
    <t>Property Owners &amp; PL Insurance</t>
  </si>
  <si>
    <t xml:space="preserve">Insurance Premium Tax </t>
  </si>
  <si>
    <t>Leisure Suite Utilities</t>
  </si>
  <si>
    <t>Gates - H&amp;S, Repairs and Maintenance</t>
  </si>
  <si>
    <t xml:space="preserve">Management </t>
  </si>
  <si>
    <t>Finance and Accounting</t>
  </si>
  <si>
    <t>Legal</t>
  </si>
  <si>
    <t>External Audit Fees</t>
  </si>
  <si>
    <t>Company Secretarial Fees</t>
  </si>
  <si>
    <t>LEISURE SUITE</t>
  </si>
  <si>
    <t>Block Management</t>
  </si>
  <si>
    <t xml:space="preserve">Block Management </t>
  </si>
  <si>
    <t>Staff Expenses</t>
  </si>
  <si>
    <t>Fobs</t>
  </si>
  <si>
    <t>Lift Maintenance/Service</t>
  </si>
  <si>
    <t>Statutory Insurance inspections</t>
  </si>
  <si>
    <t>Statutory Insurance Inspections</t>
  </si>
  <si>
    <t>Variance</t>
  </si>
  <si>
    <t>Notes</t>
  </si>
  <si>
    <t>Contribution to reserves</t>
  </si>
  <si>
    <t>Contribution to Reserves</t>
  </si>
  <si>
    <t>Contribution  to reserves</t>
  </si>
  <si>
    <t>Staff Salaries and Employment Costs (inc pension contributions)</t>
  </si>
  <si>
    <t xml:space="preserve">Ombudsman Services Scheme </t>
  </si>
  <si>
    <t>Site valuation</t>
  </si>
  <si>
    <t>External courses for compliance purposes</t>
  </si>
  <si>
    <t>Internal staff training</t>
  </si>
  <si>
    <t>Staff uniforms/Personal protective equipment</t>
  </si>
  <si>
    <t>N/A</t>
  </si>
  <si>
    <t>Data protection membership fee, stamps etc</t>
  </si>
  <si>
    <t>Legal advice (HR/Property)</t>
  </si>
  <si>
    <t>Roads, drain service and works, snow plough, grit and gritting etc</t>
  </si>
  <si>
    <t>Repairs to structure/gutters</t>
  </si>
  <si>
    <t>Annual test as per legislation</t>
  </si>
  <si>
    <t>CCTV, signage</t>
  </si>
  <si>
    <t>H&amp;S, repairs, maintenance, annual inspections and force tests</t>
  </si>
  <si>
    <t>Phone line rental and call charges</t>
  </si>
  <si>
    <t>Lighting repairs/upgrades/timers</t>
  </si>
  <si>
    <t>Actual</t>
  </si>
  <si>
    <t>not required from 2018</t>
  </si>
  <si>
    <t>Pest Control</t>
  </si>
  <si>
    <t>Light duty equipment maintenance</t>
  </si>
  <si>
    <t>Light Equipment misc costs</t>
  </si>
  <si>
    <t>Terrorism cover</t>
  </si>
  <si>
    <t>Roof Repairs</t>
  </si>
  <si>
    <t>Roof repairs</t>
  </si>
  <si>
    <t>NETHER EDGE MANAGEMENT CO LTD</t>
  </si>
  <si>
    <t>legionella risk assessment, balance tank cleaning now required 6 monthly not annually, i-auditor annual subscription</t>
  </si>
  <si>
    <t>incorporated within insurance figures</t>
  </si>
  <si>
    <t>Book-keeping &amp; Admin &amp; Payroll</t>
  </si>
  <si>
    <t>not budgeted in 2017</t>
  </si>
  <si>
    <t>Drain work</t>
  </si>
  <si>
    <t>Refreshments</t>
  </si>
  <si>
    <t>Carriage costs</t>
  </si>
  <si>
    <t>Drain repairs</t>
  </si>
  <si>
    <t>Carpet Cleaning/machinery</t>
  </si>
  <si>
    <t>SJF was putting £1125/qtr to reserves</t>
  </si>
  <si>
    <t>IT and network costs/monthly software/broadband</t>
  </si>
  <si>
    <t>General Administrative costs/stamps</t>
  </si>
  <si>
    <t>HR/Staffing/Job Adverts/HR Advice/Payroll Software</t>
  </si>
  <si>
    <t>kerbstones, paths, tools etc</t>
  </si>
  <si>
    <t>Garden/Grounds Maintenance &amp; extra planting</t>
  </si>
  <si>
    <t>LED street lamp bulb upgrade</t>
  </si>
  <si>
    <t>One off cost for LED upgrade</t>
  </si>
  <si>
    <t>Building work</t>
  </si>
  <si>
    <t>Contractor Cleaning</t>
  </si>
  <si>
    <t>Cleaning Materials &amp; Consumables</t>
  </si>
  <si>
    <t>Water (Leisure &amp; estate external taps)</t>
  </si>
  <si>
    <t>Door Entry System &amp; Door Maintenance</t>
  </si>
  <si>
    <t>Hygiene Services &amp; Urinal Cartridges</t>
  </si>
  <si>
    <t>Major Equipment</t>
  </si>
  <si>
    <t>Emergency Light Testing &amp; Repairs</t>
  </si>
  <si>
    <t>EICR Testing (every 5 years)</t>
  </si>
  <si>
    <t>electrical testing</t>
  </si>
  <si>
    <t>change of co providing 365/247 call out inc all labour charges</t>
  </si>
  <si>
    <t>Carpet cleaning</t>
  </si>
  <si>
    <t>EICR Testing every 5 years</t>
  </si>
  <si>
    <t>Fire Alarm Maintenance/Smoke Ventilation</t>
  </si>
  <si>
    <t>from 2019 inc smoke ventilation system &amp; individual flats smoke alarm testing by contractor to achieve 100% compliance</t>
  </si>
  <si>
    <t>EICR testing every 5 years</t>
  </si>
  <si>
    <t>EICR testing (every 5 years)</t>
  </si>
  <si>
    <t>Full Year</t>
  </si>
  <si>
    <t>&lt;---------- to October ----------&gt;</t>
  </si>
  <si>
    <t>&lt;----- Budget -----&gt;</t>
  </si>
  <si>
    <t>Variance to 2017 Budget</t>
  </si>
  <si>
    <t>Variance to 2018 Budget</t>
  </si>
  <si>
    <t>* Inflation Factor, CPI to October, 2019</t>
  </si>
  <si>
    <t>*</t>
  </si>
  <si>
    <t>Service Charge Budgets</t>
  </si>
  <si>
    <t>Total prior to reserves</t>
  </si>
  <si>
    <t>Total Communal Costs</t>
  </si>
  <si>
    <t>Total Maintenance Costs</t>
  </si>
  <si>
    <r>
      <t>Emergency Lighting</t>
    </r>
    <r>
      <rPr>
        <sz val="11"/>
        <color indexed="10"/>
        <rFont val="Calibri"/>
        <family val="2"/>
        <scheme val="minor"/>
      </rPr>
      <t xml:space="preserve"> </t>
    </r>
  </si>
  <si>
    <t>Total Lift Maintenance Costs</t>
  </si>
  <si>
    <t>Check Figure</t>
  </si>
  <si>
    <t>Variance to 2018 Charges</t>
  </si>
  <si>
    <t>2018 Service Charges *</t>
  </si>
  <si>
    <t>Communal Management &amp; Administration</t>
  </si>
  <si>
    <t>* 2018 Service Charges were based on 2017 Budget + 1%, rather than the 2018 Budget.</t>
  </si>
  <si>
    <t>Total Staff Costs</t>
  </si>
  <si>
    <t>Total Administration Costs</t>
  </si>
  <si>
    <t>Total Management Costs</t>
  </si>
  <si>
    <t>Total Security Costs</t>
  </si>
  <si>
    <t>Total Utilities &amp; Electrical Costs</t>
  </si>
  <si>
    <t>Total Estate &amp; Grounds Maintenance</t>
  </si>
  <si>
    <t>Planned &amp; Preventative Maintenance Survey</t>
  </si>
  <si>
    <t>EV Charging Point Survey</t>
  </si>
  <si>
    <t>Electrical Tracing Survey &amp; Recabling</t>
  </si>
  <si>
    <t>Total Cleaning Costs</t>
  </si>
  <si>
    <t>Total Pool Costs</t>
  </si>
  <si>
    <t>Total Leisure Suite Utilities</t>
  </si>
  <si>
    <t>Total Leisure Facilities</t>
  </si>
  <si>
    <t>Total Lift Costs</t>
  </si>
  <si>
    <t>Check Figures</t>
  </si>
  <si>
    <t>No. Units</t>
  </si>
  <si>
    <t>Alexandra Buildings</t>
  </si>
  <si>
    <t>Communal</t>
  </si>
  <si>
    <t>Sheaf 3 Buildings</t>
  </si>
  <si>
    <t>Per Dwelling</t>
  </si>
  <si>
    <t>Electrical Compliance Testing</t>
  </si>
  <si>
    <t>now included with above category</t>
  </si>
  <si>
    <t>Total</t>
  </si>
  <si>
    <t>Statutory Lift Inspections (Engineering Risk)</t>
  </si>
  <si>
    <t>Includes whole site + Office/Leisure Suite (previously inc. in Property Owners &amp; PL Ins.)</t>
  </si>
  <si>
    <t>not required in 2018 - every 5 years.</t>
  </si>
  <si>
    <t>There is a comment to say percentage charged “same as Sheaf 3” but with a note saying more needs to be charged to the estate but with no other indication as to how much.</t>
  </si>
  <si>
    <t xml:space="preserve">  Osborne Mews Gates</t>
  </si>
  <si>
    <t xml:space="preserve">  1 x high level light</t>
  </si>
  <si>
    <t xml:space="preserve">  2 x bollards</t>
  </si>
  <si>
    <t xml:space="preserve">  2 x cctv posts</t>
  </si>
  <si>
    <t xml:space="preserve">  Sheaf 3</t>
  </si>
  <si>
    <t xml:space="preserve">  5 x high level lights</t>
  </si>
  <si>
    <t xml:space="preserve">  Water feature</t>
  </si>
  <si>
    <r>
      <t xml:space="preserve">Communal Electricity </t>
    </r>
    <r>
      <rPr>
        <vertAlign val="superscript"/>
        <sz val="11"/>
        <rFont val="Calibri"/>
        <family val="2"/>
        <scheme val="minor"/>
      </rPr>
      <t>1</t>
    </r>
  </si>
  <si>
    <t>1. Communal Electricity includes the following, which needs to be recharged to the Estate:</t>
  </si>
  <si>
    <t xml:space="preserve">  TV system for Osborne Walk &amp; Kingswood</t>
  </si>
  <si>
    <r>
      <t xml:space="preserve">Communal Electricity </t>
    </r>
    <r>
      <rPr>
        <vertAlign val="superscript"/>
        <sz val="12"/>
        <rFont val="Calibri"/>
        <family val="2"/>
        <scheme val="minor"/>
      </rPr>
      <t>1</t>
    </r>
  </si>
  <si>
    <t xml:space="preserve">  25 x bollards</t>
  </si>
  <si>
    <t xml:space="preserve">  12 x high level lights</t>
  </si>
  <si>
    <t xml:space="preserve">  2 x cctv</t>
  </si>
  <si>
    <t xml:space="preserve">  16 x bollards</t>
  </si>
  <si>
    <t xml:space="preserve">  15 x high level lights</t>
  </si>
  <si>
    <t xml:space="preserve">  6 x cctv</t>
  </si>
  <si>
    <t xml:space="preserve">  Union Drive gates</t>
  </si>
  <si>
    <t xml:space="preserve">  Osborne Walk lights</t>
  </si>
  <si>
    <t>There is a note to say check meter.</t>
  </si>
  <si>
    <t xml:space="preserve">  3 x cctv</t>
  </si>
  <si>
    <t xml:space="preserve">  3 x garages</t>
  </si>
  <si>
    <t xml:space="preserve">  Alexandra Gates</t>
  </si>
  <si>
    <t>This block has no windows.</t>
  </si>
  <si>
    <t>Reserves Expenditure</t>
  </si>
  <si>
    <t>Communal Management &amp; Admin</t>
  </si>
  <si>
    <t>Cost Centre</t>
  </si>
  <si>
    <t>Amount Budgetted</t>
  </si>
  <si>
    <t>Reserves</t>
  </si>
  <si>
    <t>The following items have been approved by the Board for specific or in principle expenditure from Reserves.</t>
  </si>
  <si>
    <t>Proposed</t>
  </si>
  <si>
    <t>Agreed</t>
  </si>
  <si>
    <t>Reserve Balance</t>
  </si>
  <si>
    <t>Annual Charge</t>
  </si>
  <si>
    <t>Other Stuff</t>
  </si>
  <si>
    <t>£1 per dwelling per week</t>
  </si>
  <si>
    <t>No. of Dwellings</t>
  </si>
  <si>
    <t>ALEXANDRA APARTMENTS</t>
  </si>
  <si>
    <t>ALEXANDRA BUILDING</t>
  </si>
  <si>
    <t>CLIFFE</t>
  </si>
  <si>
    <t>EDWARD</t>
  </si>
  <si>
    <t>KINGSWOOD</t>
  </si>
  <si>
    <t>MUXLOW</t>
  </si>
  <si>
    <t>SHEAF 1 APARTMENTS</t>
  </si>
  <si>
    <t>SHEAF 2</t>
  </si>
  <si>
    <t>SHEAF 3 APARTMENTS</t>
  </si>
  <si>
    <t>SHEAF 3 BUILDING</t>
  </si>
  <si>
    <t>VICTORIA</t>
  </si>
  <si>
    <t>Alexandra Apartments</t>
  </si>
  <si>
    <t>Totals</t>
  </si>
  <si>
    <t>% being Charged</t>
  </si>
  <si>
    <t>after Prior Year Adjustment *</t>
  </si>
  <si>
    <r>
      <t>Total</t>
    </r>
    <r>
      <rPr>
        <sz val="11"/>
        <rFont val="Calibri"/>
        <family val="2"/>
        <scheme val="minor"/>
      </rPr>
      <t xml:space="preserve">
</t>
    </r>
    <r>
      <rPr>
        <sz val="8"/>
        <rFont val="Calibri"/>
        <family val="2"/>
        <scheme val="minor"/>
      </rPr>
      <t>from Annual Accts</t>
    </r>
  </si>
  <si>
    <t>no budget in 2017 for misc office items or small equipment</t>
  </si>
  <si>
    <t>Subsumed into Staff Training Regulatory (Health &amp; Safety)</t>
  </si>
  <si>
    <t>Variance to 2019 Budget</t>
  </si>
  <si>
    <t xml:space="preserve">  Column H shows the difference between the 2019 &amp; 2018 Budgets.</t>
  </si>
  <si>
    <t xml:space="preserve">  Column I shows the difference between the 2019 Budget and what was actually charged in 2018.</t>
  </si>
  <si>
    <t>COMMUNAL MANAGEMENT &amp; ADMINISTRATION</t>
  </si>
  <si>
    <t>TOTAL EXPENDITURE SUMMARY</t>
  </si>
  <si>
    <t>Inflation Factor, CPI to September, 2019</t>
  </si>
  <si>
    <t>Planned Reserves Expenditure</t>
  </si>
  <si>
    <t>Description</t>
  </si>
  <si>
    <t>Reserves 31/12/2018</t>
  </si>
  <si>
    <t>Net Reserves 1/1/2019</t>
  </si>
  <si>
    <t>* 2018 Surpluses &amp; Deficits</t>
  </si>
  <si>
    <t>2019 Contribution to Reserves</t>
  </si>
  <si>
    <t>Available 2019</t>
  </si>
  <si>
    <t>Expenditure 2019</t>
  </si>
  <si>
    <t>Description of Expenditure</t>
  </si>
  <si>
    <t>Check</t>
  </si>
  <si>
    <t>Reserves Budget 2020</t>
  </si>
  <si>
    <t>Budget
2018</t>
  </si>
  <si>
    <t>Revised Contribution</t>
  </si>
  <si>
    <t>Block Management Charge for Alexandra &amp; Sheaf 3 Apartments are included om their repsective Buildings charge.</t>
  </si>
  <si>
    <t>Agreed Planned Reserves Expenditure 2020</t>
  </si>
  <si>
    <t>Business mileage</t>
  </si>
  <si>
    <t>Travel costs (non mileage)</t>
  </si>
  <si>
    <t>Misc site costs</t>
  </si>
  <si>
    <t>Office equipment</t>
  </si>
  <si>
    <t>Andrews hot water system</t>
  </si>
  <si>
    <t>LED upgrades</t>
  </si>
  <si>
    <t>This category name is not a code for this part of the budget</t>
  </si>
  <si>
    <t>repainting gates &amp; railings</t>
  </si>
  <si>
    <t>door entry system - fingerprint recognition</t>
  </si>
  <si>
    <t>pool cover/spa cover inc framework</t>
  </si>
  <si>
    <t>safe &amp; new key box for reception</t>
  </si>
  <si>
    <t>replace Andrews water heater for leisure centre</t>
  </si>
  <si>
    <t>spa filter replacement</t>
  </si>
  <si>
    <t>fire door (changing room entrance)</t>
  </si>
  <si>
    <t>computer tower/larger screen/keyboard for accounts instead of slow laptop - can get refurbished for approx £500 + vat - board laptop not as good as existing ref IT contractor</t>
  </si>
  <si>
    <t>exterior decoration</t>
  </si>
  <si>
    <t>exterior decoration of windows/sofits</t>
  </si>
  <si>
    <t>delamination of stone/incorrect mortar used</t>
  </si>
  <si>
    <t>77AG ongoing roofing issues</t>
  </si>
  <si>
    <t>eterior decoration of windows &amp; sofits</t>
  </si>
  <si>
    <t>mortar joints on stone lintels - would need cherry picker</t>
  </si>
  <si>
    <t>main doors coming away from brickwork</t>
  </si>
  <si>
    <t>exterior painting of windows &amp; sofits</t>
  </si>
  <si>
    <t>quote from Mick Poole</t>
  </si>
  <si>
    <t>Painting of render around windows</t>
  </si>
  <si>
    <t>quote from Horsfields</t>
  </si>
  <si>
    <t>quote from Horsfields - this includes Alexandra Buildings</t>
  </si>
  <si>
    <t>Estate &amp; AG boundary wall pointing &amp; re-instating coping stones</t>
  </si>
  <si>
    <t>tba</t>
  </si>
  <si>
    <t xml:space="preserve">quote from Synergy </t>
  </si>
  <si>
    <t>Electronic pedestrian &amp; vehicle software inc APNR cameras - Synergy - to replace current intercom system on vehicle gates to disconnect existing landline for each gate &amp; move to a sim card system</t>
  </si>
  <si>
    <t>quote from ESP (alternative to Synergy quote above)</t>
  </si>
  <si>
    <t xml:space="preserve">site access control - voice over internet on all vehicle &amp; pedestrian gates &amp; number plate recognition cameras for entrance &amp; exit to all vehicles gates </t>
  </si>
  <si>
    <t>keep existing system for vehicles - put keypad locks (no intercom) on each pedestrian gate)</t>
  </si>
  <si>
    <t>see note ref Alexandra</t>
  </si>
  <si>
    <t>Initial one-off survey</t>
  </si>
  <si>
    <t>allowed for approx 3 visits per year</t>
  </si>
  <si>
    <t>1 visit per week &amp; small contingency for extras</t>
  </si>
  <si>
    <t>not including in budget as charged out</t>
  </si>
  <si>
    <t>Electric expenditure - 'landlord meters'</t>
  </si>
  <si>
    <t>Office extension - from reserves.</t>
  </si>
  <si>
    <t>Got some free advice re sub metering</t>
  </si>
  <si>
    <t>Not sure when this may progress</t>
  </si>
  <si>
    <t>further evaluation of electric vehicle charging points</t>
  </si>
  <si>
    <t>quote from Synergy - this would save on cost of landlines/calls for gates approx £968 per annum</t>
  </si>
  <si>
    <t xml:space="preserve">Revised Ombudsman scheme </t>
  </si>
  <si>
    <t>Recommend twice per year</t>
  </si>
  <si>
    <t>removed code</t>
  </si>
  <si>
    <t>new 2 year contract jan 2020</t>
  </si>
  <si>
    <t>contract ends 13/12/2020</t>
  </si>
  <si>
    <t>Yorkshire Water now taken over by Business Stream</t>
  </si>
  <si>
    <t>from reserves</t>
  </si>
  <si>
    <t>EICR Testing</t>
  </si>
  <si>
    <t>Estimate for 2020</t>
  </si>
  <si>
    <t>Clock (moved to Estate)</t>
  </si>
  <si>
    <t>moved to Estate by Board</t>
  </si>
  <si>
    <t>Estimate</t>
  </si>
  <si>
    <t>Estimate add up to more than total, so adjusted downwards proportionately.</t>
  </si>
  <si>
    <t>* 2019 Reserves will be adjusted for 2018 surpluses and deficits</t>
  </si>
  <si>
    <t>Contributions to reserves will need to be reviewed and increased in line with the</t>
  </si>
  <si>
    <t>findings of the site survey once this has been evaluated &amp; costed</t>
  </si>
  <si>
    <t>eg mileage - no budget in 2017 however staff can claim for mileage for business trips in personal vehicles</t>
  </si>
  <si>
    <t xml:space="preserve">Line rental and calls </t>
  </si>
  <si>
    <t xml:space="preserve">2 x broadband lines - included within IT contract </t>
  </si>
  <si>
    <t>Printer ink, stationery</t>
  </si>
  <si>
    <t>Site mobile phone, website domain costs, website works etc</t>
  </si>
  <si>
    <t>Monthly back-ups and maintenance cover, software, anti-virus etc, network issues etc</t>
  </si>
  <si>
    <t>based on anticipated extra hours ref extra work requests</t>
  </si>
  <si>
    <t>Board provided with lots of initial information - not sure if/when this might progress</t>
  </si>
  <si>
    <t>These figures should be other way round 2 lifts in Sheaf 2 &amp; 1 platform in LS</t>
  </si>
  <si>
    <t>1. Communal Electricity includes the following, which is recharged to the Estate: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</si>
</sst>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[Red]\(#,##0\)"/>
    <numFmt numFmtId="165" formatCode="#,##0;[Red]#,##0"/>
    <numFmt numFmtId="166" formatCode="_-* #,##0_-;\-* #,##0_-;_-* &quot;-&quot;??_-;_-@_-"/>
    <numFmt numFmtId="167" formatCode="0.0%"/>
    <numFmt numFmtId="168" formatCode="#,##0_ ;[Red]\-#,##0\ "/>
    <numFmt numFmtId="169" formatCode="#,##0.00_ ;[Red]\-#,##0.00\ "/>
  </numFmts>
  <fonts count="81" x14ac:knownFonts="1">
    <font>
      <sz val="10"/>
      <name val="Arial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8"/>
      <name val="Arial"/>
      <family val="2"/>
    </font>
    <font>
      <sz val="10"/>
      <name val="Franklin Gothic Medium"/>
      <family val="2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color rgb="FF7030A0"/>
      <name val="Arial"/>
      <family val="2"/>
    </font>
    <font>
      <sz val="10"/>
      <color rgb="FFFF0000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7030A0"/>
      <name val="Calibri"/>
      <family val="2"/>
      <scheme val="minor"/>
    </font>
    <font>
      <sz val="14"/>
      <name val="Calibri"/>
      <family val="2"/>
      <scheme val="minor"/>
    </font>
    <font>
      <sz val="16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sz val="16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1"/>
      <color theme="2" tint="-0.749992370372631"/>
      <name val="Calibri"/>
      <family val="2"/>
      <scheme val="minor"/>
    </font>
    <font>
      <sz val="11"/>
      <color theme="2" tint="-0.749992370372631"/>
      <name val="Arial"/>
      <family val="2"/>
    </font>
    <font>
      <b/>
      <sz val="11"/>
      <color rgb="FF00B050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color rgb="FF7030A0"/>
      <name val="Calibri"/>
      <family val="2"/>
      <scheme val="minor"/>
    </font>
    <font>
      <sz val="12"/>
      <color rgb="FF0070C0"/>
      <name val="Calibri"/>
      <family val="2"/>
      <scheme val="minor"/>
    </font>
    <font>
      <sz val="12"/>
      <name val="Calibri"/>
      <family val="2"/>
      <scheme val="minor"/>
    </font>
    <font>
      <sz val="11"/>
      <name val="Franklin Gothic Medium"/>
      <family val="2"/>
    </font>
    <font>
      <sz val="11"/>
      <color theme="0" tint="-0.499984740745262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b/>
      <sz val="11"/>
      <color theme="2" tint="-0.749992370372631"/>
      <name val="Arial"/>
      <family val="2"/>
    </font>
    <font>
      <b/>
      <sz val="12"/>
      <color theme="2" tint="-0.749992370372631"/>
      <name val="Calibri"/>
      <family val="2"/>
      <scheme val="minor"/>
    </font>
    <font>
      <sz val="12"/>
      <color theme="2" tint="-0.749992370372631"/>
      <name val="Calibri"/>
      <family val="2"/>
      <scheme val="minor"/>
    </font>
    <font>
      <vertAlign val="superscript"/>
      <sz val="11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20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0070C0"/>
      <name val="Arial"/>
      <family val="2"/>
    </font>
    <font>
      <sz val="14"/>
      <color rgb="FF0070C0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Arial"/>
      <family val="2"/>
    </font>
    <font>
      <b/>
      <sz val="10"/>
      <name val="Franklin Gothic Medium"/>
      <family val="2"/>
    </font>
    <font>
      <b/>
      <sz val="10"/>
      <color rgb="FF7030A0"/>
      <name val="Calibri"/>
      <family val="2"/>
      <scheme val="minor"/>
    </font>
    <font>
      <b/>
      <sz val="10"/>
      <color rgb="FF7030A0"/>
      <name val="Arial"/>
      <family val="2"/>
    </font>
    <font>
      <b/>
      <sz val="14"/>
      <color theme="9" tint="-0.249977111117893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Arial"/>
      <family val="2"/>
    </font>
    <font>
      <b/>
      <sz val="10.5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3" tint="0.79998168889431442"/>
      </left>
      <right/>
      <top style="thin">
        <color theme="3" tint="0.79998168889431442"/>
      </top>
      <bottom style="thin">
        <color theme="3" tint="0.79998168889431442"/>
      </bottom>
      <diagonal/>
    </border>
    <border>
      <left/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/>
      <right/>
      <top style="thin">
        <color theme="3" tint="0.79998168889431442"/>
      </top>
      <bottom style="thin">
        <color theme="3" tint="0.79998168889431442"/>
      </bottom>
      <diagonal/>
    </border>
  </borders>
  <cellStyleXfs count="6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" fillId="0" borderId="0"/>
    <xf numFmtId="0" fontId="2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4" fontId="68" fillId="0" borderId="0" applyFont="0" applyFill="0" applyBorder="0" applyAlignment="0" applyProtection="0"/>
  </cellStyleXfs>
  <cellXfs count="436">
    <xf numFmtId="0" fontId="0" fillId="0" borderId="0" xfId="0"/>
    <xf numFmtId="0" fontId="21" fillId="0" borderId="0" xfId="0" applyFont="1"/>
    <xf numFmtId="0" fontId="23" fillId="0" borderId="0" xfId="0" applyFont="1"/>
    <xf numFmtId="0" fontId="27" fillId="0" borderId="0" xfId="37" applyFont="1" applyAlignment="1">
      <alignment vertical="center"/>
    </xf>
    <xf numFmtId="0" fontId="28" fillId="0" borderId="0" xfId="37" applyFont="1" applyAlignment="1">
      <alignment vertical="center"/>
    </xf>
    <xf numFmtId="0" fontId="29" fillId="0" borderId="0" xfId="0" applyFont="1" applyAlignment="1">
      <alignment vertical="center"/>
    </xf>
    <xf numFmtId="164" fontId="31" fillId="0" borderId="0" xfId="37" applyNumberFormat="1" applyFont="1" applyAlignment="1">
      <alignment vertical="center"/>
    </xf>
    <xf numFmtId="164" fontId="29" fillId="0" borderId="0" xfId="37" applyNumberFormat="1" applyFont="1" applyAlignment="1">
      <alignment vertical="center"/>
    </xf>
    <xf numFmtId="0" fontId="32" fillId="0" borderId="0" xfId="0" applyFont="1" applyAlignment="1">
      <alignment vertical="center"/>
    </xf>
    <xf numFmtId="164" fontId="28" fillId="0" borderId="0" xfId="37" applyNumberFormat="1" applyFont="1" applyAlignment="1">
      <alignment vertical="center"/>
    </xf>
    <xf numFmtId="164" fontId="27" fillId="0" borderId="0" xfId="37" applyNumberFormat="1" applyFont="1" applyAlignment="1">
      <alignment vertical="center"/>
    </xf>
    <xf numFmtId="0" fontId="33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166" fontId="29" fillId="0" borderId="0" xfId="57" applyNumberFormat="1" applyFont="1" applyAlignment="1">
      <alignment vertical="center"/>
    </xf>
    <xf numFmtId="0" fontId="31" fillId="0" borderId="0" xfId="0" applyFont="1" applyAlignment="1">
      <alignment vertical="center"/>
    </xf>
    <xf numFmtId="166" fontId="31" fillId="0" borderId="0" xfId="57" applyNumberFormat="1" applyFont="1" applyBorder="1" applyAlignment="1">
      <alignment vertical="center"/>
    </xf>
    <xf numFmtId="166" fontId="33" fillId="0" borderId="0" xfId="57" applyNumberFormat="1" applyFont="1" applyAlignment="1">
      <alignment vertical="center"/>
    </xf>
    <xf numFmtId="166" fontId="28" fillId="0" borderId="0" xfId="57" applyNumberFormat="1" applyFont="1" applyBorder="1" applyAlignment="1">
      <alignment vertical="center"/>
    </xf>
    <xf numFmtId="0" fontId="37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37" applyFont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Alignment="1">
      <alignment vertical="center" wrapText="1"/>
    </xf>
    <xf numFmtId="0" fontId="35" fillId="0" borderId="0" xfId="0" applyFont="1" applyBorder="1" applyAlignment="1">
      <alignment horizontal="center" vertical="center"/>
    </xf>
    <xf numFmtId="0" fontId="45" fillId="0" borderId="0" xfId="37" applyFont="1" applyAlignment="1">
      <alignment vertical="center"/>
    </xf>
    <xf numFmtId="0" fontId="46" fillId="0" borderId="0" xfId="37" applyFont="1" applyAlignment="1">
      <alignment vertical="center"/>
    </xf>
    <xf numFmtId="0" fontId="56" fillId="0" borderId="0" xfId="0" applyFont="1" applyAlignment="1">
      <alignment vertical="center"/>
    </xf>
    <xf numFmtId="166" fontId="56" fillId="0" borderId="0" xfId="57" applyNumberFormat="1" applyFont="1" applyAlignment="1">
      <alignment vertical="center"/>
    </xf>
    <xf numFmtId="166" fontId="51" fillId="0" borderId="0" xfId="57" applyNumberFormat="1" applyFont="1" applyBorder="1" applyAlignment="1">
      <alignment vertical="center"/>
    </xf>
    <xf numFmtId="0" fontId="29" fillId="0" borderId="0" xfId="0" applyFont="1"/>
    <xf numFmtId="0" fontId="36" fillId="0" borderId="0" xfId="0" applyFont="1"/>
    <xf numFmtId="0" fontId="34" fillId="0" borderId="0" xfId="0" applyFont="1"/>
    <xf numFmtId="164" fontId="27" fillId="0" borderId="0" xfId="37" applyNumberFormat="1" applyFont="1"/>
    <xf numFmtId="164" fontId="34" fillId="0" borderId="0" xfId="0" applyNumberFormat="1" applyFont="1"/>
    <xf numFmtId="164" fontId="29" fillId="0" borderId="0" xfId="0" applyNumberFormat="1" applyFont="1"/>
    <xf numFmtId="164" fontId="36" fillId="0" borderId="10" xfId="0" applyNumberFormat="1" applyFont="1" applyBorder="1"/>
    <xf numFmtId="164" fontId="34" fillId="0" borderId="10" xfId="0" applyNumberFormat="1" applyFont="1" applyBorder="1"/>
    <xf numFmtId="164" fontId="29" fillId="0" borderId="10" xfId="0" applyNumberFormat="1" applyFont="1" applyBorder="1"/>
    <xf numFmtId="164" fontId="34" fillId="0" borderId="0" xfId="0" applyNumberFormat="1" applyFont="1" applyBorder="1"/>
    <xf numFmtId="164" fontId="29" fillId="0" borderId="0" xfId="0" applyNumberFormat="1" applyFont="1" applyBorder="1"/>
    <xf numFmtId="0" fontId="33" fillId="0" borderId="0" xfId="0" applyFont="1"/>
    <xf numFmtId="164" fontId="28" fillId="0" borderId="0" xfId="37" applyNumberFormat="1" applyFont="1"/>
    <xf numFmtId="164" fontId="31" fillId="0" borderId="0" xfId="0" applyNumberFormat="1" applyFont="1"/>
    <xf numFmtId="0" fontId="44" fillId="0" borderId="0" xfId="37" applyFont="1"/>
    <xf numFmtId="0" fontId="37" fillId="0" borderId="0" xfId="0" applyFont="1"/>
    <xf numFmtId="0" fontId="40" fillId="0" borderId="0" xfId="0" applyFont="1"/>
    <xf numFmtId="164" fontId="31" fillId="0" borderId="0" xfId="37" applyNumberFormat="1" applyFont="1"/>
    <xf numFmtId="164" fontId="29" fillId="0" borderId="0" xfId="37" applyNumberFormat="1" applyFont="1"/>
    <xf numFmtId="164" fontId="33" fillId="0" borderId="0" xfId="0" applyNumberFormat="1" applyFont="1"/>
    <xf numFmtId="164" fontId="28" fillId="0" borderId="10" xfId="55" applyNumberFormat="1" applyFont="1" applyBorder="1"/>
    <xf numFmtId="0" fontId="45" fillId="0" borderId="0" xfId="55" applyFont="1" applyAlignment="1">
      <alignment vertical="center"/>
    </xf>
    <xf numFmtId="0" fontId="27" fillId="0" borderId="0" xfId="55" applyFont="1" applyAlignment="1">
      <alignment vertical="center"/>
    </xf>
    <xf numFmtId="0" fontId="28" fillId="0" borderId="0" xfId="55" applyFont="1" applyAlignment="1">
      <alignment vertical="center"/>
    </xf>
    <xf numFmtId="0" fontId="44" fillId="0" borderId="0" xfId="55" applyFont="1" applyAlignment="1">
      <alignment vertical="center"/>
    </xf>
    <xf numFmtId="164" fontId="51" fillId="0" borderId="0" xfId="55" applyNumberFormat="1" applyFont="1" applyAlignment="1">
      <alignment vertical="center"/>
    </xf>
    <xf numFmtId="164" fontId="56" fillId="0" borderId="0" xfId="55" applyNumberFormat="1" applyFont="1" applyAlignment="1">
      <alignment vertical="center"/>
    </xf>
    <xf numFmtId="168" fontId="54" fillId="0" borderId="0" xfId="57" applyNumberFormat="1" applyFont="1" applyAlignment="1">
      <alignment vertical="center"/>
    </xf>
    <xf numFmtId="168" fontId="56" fillId="0" borderId="0" xfId="57" applyNumberFormat="1" applyFont="1" applyAlignment="1">
      <alignment vertical="center"/>
    </xf>
    <xf numFmtId="168" fontId="54" fillId="0" borderId="0" xfId="0" applyNumberFormat="1" applyFont="1" applyAlignment="1">
      <alignment vertical="center"/>
    </xf>
    <xf numFmtId="168" fontId="55" fillId="0" borderId="0" xfId="0" applyNumberFormat="1" applyFont="1" applyAlignment="1">
      <alignment vertical="center"/>
    </xf>
    <xf numFmtId="168" fontId="56" fillId="0" borderId="0" xfId="0" applyNumberFormat="1" applyFont="1" applyAlignment="1">
      <alignment vertical="center"/>
    </xf>
    <xf numFmtId="168" fontId="55" fillId="0" borderId="0" xfId="57" applyNumberFormat="1" applyFont="1" applyAlignment="1">
      <alignment vertical="center"/>
    </xf>
    <xf numFmtId="168" fontId="52" fillId="0" borderId="10" xfId="57" applyNumberFormat="1" applyFont="1" applyBorder="1" applyAlignment="1">
      <alignment vertical="center"/>
    </xf>
    <xf numFmtId="168" fontId="53" fillId="0" borderId="10" xfId="57" applyNumberFormat="1" applyFont="1" applyBorder="1" applyAlignment="1">
      <alignment vertical="center"/>
    </xf>
    <xf numFmtId="168" fontId="51" fillId="0" borderId="0" xfId="0" applyNumberFormat="1" applyFont="1" applyAlignment="1">
      <alignment vertical="center"/>
    </xf>
    <xf numFmtId="168" fontId="51" fillId="0" borderId="10" xfId="57" applyNumberFormat="1" applyFont="1" applyBorder="1" applyAlignment="1">
      <alignment vertical="center"/>
    </xf>
    <xf numFmtId="168" fontId="55" fillId="0" borderId="10" xfId="0" applyNumberFormat="1" applyFont="1" applyBorder="1" applyAlignment="1">
      <alignment vertical="center"/>
    </xf>
    <xf numFmtId="168" fontId="52" fillId="0" borderId="0" xfId="57" applyNumberFormat="1" applyFont="1" applyBorder="1" applyAlignment="1">
      <alignment vertical="center"/>
    </xf>
    <xf numFmtId="168" fontId="53" fillId="0" borderId="0" xfId="57" applyNumberFormat="1" applyFont="1" applyBorder="1" applyAlignment="1">
      <alignment vertical="center"/>
    </xf>
    <xf numFmtId="168" fontId="51" fillId="0" borderId="0" xfId="57" applyNumberFormat="1" applyFont="1" applyBorder="1" applyAlignment="1">
      <alignment vertical="center"/>
    </xf>
    <xf numFmtId="168" fontId="55" fillId="0" borderId="0" xfId="0" applyNumberFormat="1" applyFont="1" applyBorder="1" applyAlignment="1">
      <alignment vertical="center"/>
    </xf>
    <xf numFmtId="168" fontId="53" fillId="0" borderId="10" xfId="0" applyNumberFormat="1" applyFont="1" applyBorder="1" applyAlignment="1">
      <alignment vertical="center"/>
    </xf>
    <xf numFmtId="0" fontId="29" fillId="0" borderId="0" xfId="0" applyFont="1" applyAlignment="1"/>
    <xf numFmtId="0" fontId="33" fillId="0" borderId="0" xfId="0" applyFont="1" applyAlignment="1"/>
    <xf numFmtId="164" fontId="32" fillId="0" borderId="0" xfId="0" applyNumberFormat="1" applyFont="1"/>
    <xf numFmtId="164" fontId="31" fillId="0" borderId="0" xfId="55" applyNumberFormat="1" applyFont="1" applyAlignment="1">
      <alignment vertical="center"/>
    </xf>
    <xf numFmtId="168" fontId="36" fillId="0" borderId="0" xfId="0" applyNumberFormat="1" applyFont="1" applyAlignment="1">
      <alignment vertical="center"/>
    </xf>
    <xf numFmtId="168" fontId="34" fillId="0" borderId="0" xfId="0" applyNumberFormat="1" applyFont="1" applyAlignment="1">
      <alignment vertical="center"/>
    </xf>
    <xf numFmtId="168" fontId="29" fillId="0" borderId="0" xfId="0" applyNumberFormat="1" applyFont="1" applyAlignment="1">
      <alignment vertical="center"/>
    </xf>
    <xf numFmtId="0" fontId="57" fillId="0" borderId="0" xfId="0" applyFont="1"/>
    <xf numFmtId="164" fontId="29" fillId="0" borderId="0" xfId="55" applyNumberFormat="1" applyFont="1" applyAlignment="1">
      <alignment vertical="center"/>
    </xf>
    <xf numFmtId="168" fontId="36" fillId="0" borderId="0" xfId="57" applyNumberFormat="1" applyFont="1" applyAlignment="1">
      <alignment vertical="center"/>
    </xf>
    <xf numFmtId="168" fontId="34" fillId="0" borderId="0" xfId="57" applyNumberFormat="1" applyFont="1" applyAlignment="1">
      <alignment vertical="center"/>
    </xf>
    <xf numFmtId="168" fontId="29" fillId="0" borderId="0" xfId="57" applyNumberFormat="1" applyFont="1" applyAlignment="1">
      <alignment vertical="center"/>
    </xf>
    <xf numFmtId="0" fontId="32" fillId="0" borderId="0" xfId="0" applyFont="1" applyAlignment="1"/>
    <xf numFmtId="168" fontId="39" fillId="0" borderId="10" xfId="57" applyNumberFormat="1" applyFont="1" applyBorder="1" applyAlignment="1">
      <alignment vertical="center"/>
    </xf>
    <xf numFmtId="168" fontId="35" fillId="0" borderId="10" xfId="57" applyNumberFormat="1" applyFont="1" applyBorder="1" applyAlignment="1">
      <alignment vertical="center"/>
    </xf>
    <xf numFmtId="168" fontId="31" fillId="0" borderId="0" xfId="0" applyNumberFormat="1" applyFont="1" applyAlignment="1">
      <alignment vertical="center"/>
    </xf>
    <xf numFmtId="168" fontId="31" fillId="0" borderId="10" xfId="57" applyNumberFormat="1" applyFont="1" applyBorder="1" applyAlignment="1">
      <alignment vertical="center"/>
    </xf>
    <xf numFmtId="168" fontId="35" fillId="0" borderId="10" xfId="0" applyNumberFormat="1" applyFont="1" applyBorder="1" applyAlignment="1">
      <alignment vertical="center"/>
    </xf>
    <xf numFmtId="0" fontId="31" fillId="0" borderId="0" xfId="0" applyFont="1" applyAlignment="1"/>
    <xf numFmtId="164" fontId="39" fillId="0" borderId="10" xfId="0" applyNumberFormat="1" applyFont="1" applyBorder="1"/>
    <xf numFmtId="164" fontId="35" fillId="0" borderId="10" xfId="0" applyNumberFormat="1" applyFont="1" applyBorder="1"/>
    <xf numFmtId="164" fontId="31" fillId="0" borderId="10" xfId="0" applyNumberFormat="1" applyFont="1" applyBorder="1"/>
    <xf numFmtId="164" fontId="36" fillId="0" borderId="0" xfId="0" applyNumberFormat="1" applyFont="1" applyBorder="1"/>
    <xf numFmtId="164" fontId="39" fillId="0" borderId="10" xfId="55" applyNumberFormat="1" applyFont="1" applyBorder="1"/>
    <xf numFmtId="164" fontId="35" fillId="0" borderId="10" xfId="55" applyNumberFormat="1" applyFont="1" applyBorder="1"/>
    <xf numFmtId="10" fontId="29" fillId="0" borderId="0" xfId="58" applyNumberFormat="1" applyFont="1" applyAlignment="1">
      <alignment vertical="center"/>
    </xf>
    <xf numFmtId="168" fontId="34" fillId="0" borderId="10" xfId="0" applyNumberFormat="1" applyFont="1" applyBorder="1" applyAlignment="1">
      <alignment vertical="center"/>
    </xf>
    <xf numFmtId="168" fontId="39" fillId="0" borderId="0" xfId="57" applyNumberFormat="1" applyFont="1" applyBorder="1" applyAlignment="1">
      <alignment vertical="center"/>
    </xf>
    <xf numFmtId="168" fontId="35" fillId="0" borderId="0" xfId="57" applyNumberFormat="1" applyFont="1" applyBorder="1" applyAlignment="1">
      <alignment vertical="center"/>
    </xf>
    <xf numFmtId="168" fontId="39" fillId="0" borderId="0" xfId="0" applyNumberFormat="1" applyFont="1" applyAlignment="1">
      <alignment vertical="center"/>
    </xf>
    <xf numFmtId="168" fontId="31" fillId="0" borderId="0" xfId="57" applyNumberFormat="1" applyFont="1" applyBorder="1" applyAlignment="1">
      <alignment vertical="center"/>
    </xf>
    <xf numFmtId="168" fontId="35" fillId="0" borderId="0" xfId="0" applyNumberFormat="1" applyFont="1" applyAlignment="1">
      <alignment vertical="center"/>
    </xf>
    <xf numFmtId="168" fontId="39" fillId="0" borderId="0" xfId="57" applyNumberFormat="1" applyFont="1" applyAlignment="1">
      <alignment vertical="center"/>
    </xf>
    <xf numFmtId="168" fontId="31" fillId="0" borderId="0" xfId="57" applyNumberFormat="1" applyFont="1" applyAlignment="1">
      <alignment vertical="center"/>
    </xf>
    <xf numFmtId="168" fontId="28" fillId="0" borderId="10" xfId="57" applyNumberFormat="1" applyFont="1" applyBorder="1" applyAlignment="1">
      <alignment vertical="center"/>
    </xf>
    <xf numFmtId="168" fontId="36" fillId="0" borderId="0" xfId="57" applyNumberFormat="1" applyFont="1"/>
    <xf numFmtId="168" fontId="34" fillId="0" borderId="0" xfId="57" applyNumberFormat="1" applyFont="1"/>
    <xf numFmtId="168" fontId="29" fillId="0" borderId="0" xfId="57" applyNumberFormat="1" applyFont="1"/>
    <xf numFmtId="168" fontId="34" fillId="0" borderId="0" xfId="57" applyNumberFormat="1" applyFont="1" applyBorder="1"/>
    <xf numFmtId="168" fontId="29" fillId="0" borderId="0" xfId="57" applyNumberFormat="1" applyFont="1" applyBorder="1"/>
    <xf numFmtId="168" fontId="36" fillId="0" borderId="0" xfId="0" applyNumberFormat="1" applyFont="1"/>
    <xf numFmtId="168" fontId="34" fillId="0" borderId="0" xfId="0" applyNumberFormat="1" applyFont="1"/>
    <xf numFmtId="168" fontId="29" fillId="0" borderId="0" xfId="0" applyNumberFormat="1" applyFont="1"/>
    <xf numFmtId="168" fontId="29" fillId="0" borderId="0" xfId="0" applyNumberFormat="1" applyFont="1" applyAlignment="1"/>
    <xf numFmtId="164" fontId="29" fillId="0" borderId="0" xfId="0" applyNumberFormat="1" applyFont="1" applyAlignment="1"/>
    <xf numFmtId="168" fontId="36" fillId="0" borderId="10" xfId="0" applyNumberFormat="1" applyFont="1" applyBorder="1"/>
    <xf numFmtId="168" fontId="34" fillId="0" borderId="10" xfId="0" applyNumberFormat="1" applyFont="1" applyBorder="1"/>
    <xf numFmtId="168" fontId="29" fillId="0" borderId="10" xfId="0" applyNumberFormat="1" applyFont="1" applyBorder="1"/>
    <xf numFmtId="168" fontId="36" fillId="0" borderId="0" xfId="0" applyNumberFormat="1" applyFont="1" applyBorder="1"/>
    <xf numFmtId="168" fontId="34" fillId="0" borderId="0" xfId="0" applyNumberFormat="1" applyFont="1" applyBorder="1"/>
    <xf numFmtId="168" fontId="29" fillId="0" borderId="0" xfId="0" applyNumberFormat="1" applyFont="1" applyBorder="1"/>
    <xf numFmtId="168" fontId="29" fillId="0" borderId="0" xfId="0" applyNumberFormat="1" applyFont="1" applyBorder="1" applyAlignment="1"/>
    <xf numFmtId="164" fontId="33" fillId="0" borderId="0" xfId="0" applyNumberFormat="1" applyFont="1" applyAlignment="1"/>
    <xf numFmtId="168" fontId="39" fillId="0" borderId="10" xfId="55" applyNumberFormat="1" applyFont="1" applyBorder="1"/>
    <xf numFmtId="168" fontId="35" fillId="0" borderId="10" xfId="55" applyNumberFormat="1" applyFont="1" applyBorder="1"/>
    <xf numFmtId="168" fontId="28" fillId="0" borderId="10" xfId="55" applyNumberFormat="1" applyFont="1" applyBorder="1"/>
    <xf numFmtId="168" fontId="34" fillId="0" borderId="0" xfId="0" applyNumberFormat="1" applyFont="1" applyBorder="1" applyAlignment="1">
      <alignment vertical="center"/>
    </xf>
    <xf numFmtId="0" fontId="31" fillId="0" borderId="0" xfId="0" applyFont="1"/>
    <xf numFmtId="0" fontId="49" fillId="0" borderId="0" xfId="0" applyFont="1"/>
    <xf numFmtId="168" fontId="39" fillId="0" borderId="10" xfId="57" applyNumberFormat="1" applyFont="1" applyBorder="1"/>
    <xf numFmtId="168" fontId="35" fillId="0" borderId="10" xfId="57" applyNumberFormat="1" applyFont="1" applyBorder="1"/>
    <xf numFmtId="168" fontId="31" fillId="0" borderId="0" xfId="57" applyNumberFormat="1" applyFont="1"/>
    <xf numFmtId="168" fontId="31" fillId="0" borderId="10" xfId="57" applyNumberFormat="1" applyFont="1" applyBorder="1"/>
    <xf numFmtId="168" fontId="31" fillId="0" borderId="10" xfId="0" applyNumberFormat="1" applyFont="1" applyBorder="1"/>
    <xf numFmtId="168" fontId="39" fillId="0" borderId="10" xfId="0" applyNumberFormat="1" applyFont="1" applyBorder="1"/>
    <xf numFmtId="168" fontId="35" fillId="0" borderId="10" xfId="0" applyNumberFormat="1" applyFont="1" applyBorder="1"/>
    <xf numFmtId="168" fontId="31" fillId="0" borderId="0" xfId="0" applyNumberFormat="1" applyFont="1"/>
    <xf numFmtId="168" fontId="31" fillId="0" borderId="10" xfId="0" applyNumberFormat="1" applyFont="1" applyBorder="1" applyAlignment="1"/>
    <xf numFmtId="164" fontId="31" fillId="0" borderId="0" xfId="0" applyNumberFormat="1" applyFont="1" applyAlignment="1"/>
    <xf numFmtId="0" fontId="49" fillId="0" borderId="0" xfId="0" applyFont="1" applyAlignment="1"/>
    <xf numFmtId="165" fontId="34" fillId="0" borderId="0" xfId="0" applyNumberFormat="1" applyFont="1" applyBorder="1"/>
    <xf numFmtId="164" fontId="27" fillId="0" borderId="0" xfId="37" applyNumberFormat="1" applyFont="1" applyFill="1"/>
    <xf numFmtId="0" fontId="33" fillId="0" borderId="0" xfId="0" applyFont="1" applyBorder="1"/>
    <xf numFmtId="164" fontId="40" fillId="0" borderId="0" xfId="0" applyNumberFormat="1" applyFont="1"/>
    <xf numFmtId="164" fontId="49" fillId="0" borderId="0" xfId="0" applyNumberFormat="1" applyFont="1"/>
    <xf numFmtId="168" fontId="31" fillId="0" borderId="0" xfId="0" applyNumberFormat="1" applyFont="1" applyBorder="1"/>
    <xf numFmtId="164" fontId="27" fillId="0" borderId="0" xfId="55" applyNumberFormat="1" applyFont="1" applyAlignment="1">
      <alignment vertical="center"/>
    </xf>
    <xf numFmtId="168" fontId="34" fillId="0" borderId="0" xfId="0" applyNumberFormat="1" applyFont="1" applyFill="1" applyBorder="1"/>
    <xf numFmtId="0" fontId="35" fillId="0" borderId="0" xfId="0" applyFont="1" applyAlignment="1">
      <alignment vertical="center" wrapText="1"/>
    </xf>
    <xf numFmtId="0" fontId="39" fillId="0" borderId="0" xfId="0" applyFont="1" applyBorder="1" applyAlignment="1">
      <alignment vertical="center" wrapText="1"/>
    </xf>
    <xf numFmtId="0" fontId="31" fillId="0" borderId="0" xfId="0" applyFont="1" applyAlignment="1">
      <alignment horizontal="center" vertical="center"/>
    </xf>
    <xf numFmtId="168" fontId="58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68" fontId="59" fillId="0" borderId="0" xfId="0" applyNumberFormat="1" applyFont="1" applyAlignment="1">
      <alignment vertical="center"/>
    </xf>
    <xf numFmtId="0" fontId="59" fillId="0" borderId="0" xfId="0" applyFont="1" applyAlignment="1">
      <alignment vertical="center"/>
    </xf>
    <xf numFmtId="168" fontId="60" fillId="0" borderId="0" xfId="0" applyNumberFormat="1" applyFont="1" applyAlignment="1">
      <alignment vertical="center"/>
    </xf>
    <xf numFmtId="164" fontId="63" fillId="0" borderId="0" xfId="55" applyNumberFormat="1" applyFont="1" applyAlignment="1">
      <alignment vertical="center"/>
    </xf>
    <xf numFmtId="168" fontId="62" fillId="0" borderId="10" xfId="57" applyNumberFormat="1" applyFont="1" applyBorder="1" applyAlignment="1">
      <alignment vertical="center"/>
    </xf>
    <xf numFmtId="0" fontId="61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40" fillId="0" borderId="0" xfId="0" applyFont="1" applyAlignment="1"/>
    <xf numFmtId="164" fontId="29" fillId="0" borderId="0" xfId="37" applyNumberFormat="1" applyFont="1" applyFill="1"/>
    <xf numFmtId="168" fontId="27" fillId="0" borderId="10" xfId="55" applyNumberFormat="1" applyFont="1" applyFill="1" applyBorder="1"/>
    <xf numFmtId="168" fontId="34" fillId="0" borderId="10" xfId="55" applyNumberFormat="1" applyFont="1" applyFill="1" applyBorder="1"/>
    <xf numFmtId="168" fontId="36" fillId="0" borderId="10" xfId="55" applyNumberFormat="1" applyFont="1" applyFill="1" applyBorder="1"/>
    <xf numFmtId="168" fontId="34" fillId="25" borderId="0" xfId="57" applyNumberFormat="1" applyFont="1" applyFill="1" applyAlignment="1">
      <alignment vertical="center"/>
    </xf>
    <xf numFmtId="168" fontId="29" fillId="25" borderId="0" xfId="57" applyNumberFormat="1" applyFont="1" applyFill="1" applyAlignment="1">
      <alignment vertical="center"/>
    </xf>
    <xf numFmtId="168" fontId="34" fillId="25" borderId="0" xfId="0" applyNumberFormat="1" applyFont="1" applyFill="1" applyAlignment="1">
      <alignment vertical="center"/>
    </xf>
    <xf numFmtId="168" fontId="55" fillId="25" borderId="0" xfId="57" applyNumberFormat="1" applyFont="1" applyFill="1" applyAlignment="1">
      <alignment vertical="center"/>
    </xf>
    <xf numFmtId="168" fontId="56" fillId="25" borderId="0" xfId="57" applyNumberFormat="1" applyFont="1" applyFill="1" applyAlignment="1">
      <alignment vertical="center"/>
    </xf>
    <xf numFmtId="164" fontId="29" fillId="25" borderId="0" xfId="0" applyNumberFormat="1" applyFont="1" applyFill="1"/>
    <xf numFmtId="0" fontId="29" fillId="0" borderId="12" xfId="0" applyFont="1" applyBorder="1" applyAlignment="1">
      <alignment vertical="center"/>
    </xf>
    <xf numFmtId="0" fontId="48" fillId="0" borderId="0" xfId="55" applyFont="1" applyBorder="1" applyAlignment="1">
      <alignment horizontal="center" vertical="center"/>
    </xf>
    <xf numFmtId="164" fontId="29" fillId="0" borderId="0" xfId="37" applyNumberFormat="1" applyFont="1" applyBorder="1" applyAlignment="1">
      <alignment vertical="center"/>
    </xf>
    <xf numFmtId="164" fontId="48" fillId="0" borderId="0" xfId="55" applyNumberFormat="1" applyFont="1" applyBorder="1" applyAlignment="1">
      <alignment vertical="center"/>
    </xf>
    <xf numFmtId="164" fontId="50" fillId="0" borderId="0" xfId="37" applyNumberFormat="1" applyFont="1" applyBorder="1" applyAlignment="1">
      <alignment vertical="center"/>
    </xf>
    <xf numFmtId="168" fontId="31" fillId="0" borderId="10" xfId="0" applyNumberFormat="1" applyFont="1" applyBorder="1" applyAlignment="1">
      <alignment vertical="center"/>
    </xf>
    <xf numFmtId="168" fontId="29" fillId="0" borderId="12" xfId="0" applyNumberFormat="1" applyFont="1" applyBorder="1" applyAlignment="1">
      <alignment horizontal="center" vertical="center"/>
    </xf>
    <xf numFmtId="168" fontId="40" fillId="0" borderId="0" xfId="0" applyNumberFormat="1" applyFont="1" applyAlignment="1">
      <alignment vertical="center"/>
    </xf>
    <xf numFmtId="168" fontId="41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164" fontId="40" fillId="0" borderId="0" xfId="0" applyNumberFormat="1" applyFont="1" applyAlignment="1"/>
    <xf numFmtId="168" fontId="39" fillId="0" borderId="0" xfId="0" applyNumberFormat="1" applyFont="1"/>
    <xf numFmtId="168" fontId="35" fillId="0" borderId="0" xfId="0" applyNumberFormat="1" applyFont="1"/>
    <xf numFmtId="164" fontId="23" fillId="0" borderId="0" xfId="0" applyNumberFormat="1" applyFont="1"/>
    <xf numFmtId="168" fontId="40" fillId="0" borderId="12" xfId="0" applyNumberFormat="1" applyFont="1" applyBorder="1"/>
    <xf numFmtId="164" fontId="40" fillId="0" borderId="14" xfId="37" applyNumberFormat="1" applyFont="1" applyBorder="1" applyAlignment="1">
      <alignment vertical="center"/>
    </xf>
    <xf numFmtId="0" fontId="40" fillId="0" borderId="15" xfId="0" applyFont="1" applyBorder="1"/>
    <xf numFmtId="164" fontId="40" fillId="0" borderId="14" xfId="37" applyNumberFormat="1" applyFont="1" applyBorder="1"/>
    <xf numFmtId="0" fontId="38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9" fillId="0" borderId="0" xfId="0" applyFont="1" applyAlignment="1">
      <alignment horizontal="center" vertical="center"/>
    </xf>
    <xf numFmtId="168" fontId="29" fillId="0" borderId="0" xfId="0" applyNumberFormat="1" applyFont="1" applyBorder="1" applyAlignment="1">
      <alignment vertical="center"/>
    </xf>
    <xf numFmtId="168" fontId="31" fillId="0" borderId="12" xfId="0" applyNumberFormat="1" applyFont="1" applyBorder="1" applyAlignment="1">
      <alignment horizontal="center" vertical="center" wrapText="1"/>
    </xf>
    <xf numFmtId="168" fontId="31" fillId="0" borderId="13" xfId="0" applyNumberFormat="1" applyFont="1" applyBorder="1" applyAlignment="1">
      <alignment horizontal="center" vertical="center" wrapText="1"/>
    </xf>
    <xf numFmtId="168" fontId="31" fillId="0" borderId="0" xfId="0" applyNumberFormat="1" applyFont="1" applyAlignment="1">
      <alignment horizontal="center" vertical="center" wrapText="1"/>
    </xf>
    <xf numFmtId="168" fontId="31" fillId="0" borderId="17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168" fontId="29" fillId="0" borderId="12" xfId="0" applyNumberFormat="1" applyFont="1" applyBorder="1" applyAlignment="1">
      <alignment vertical="center"/>
    </xf>
    <xf numFmtId="168" fontId="29" fillId="0" borderId="13" xfId="0" applyNumberFormat="1" applyFont="1" applyBorder="1" applyAlignment="1">
      <alignment vertical="center"/>
    </xf>
    <xf numFmtId="168" fontId="29" fillId="0" borderId="0" xfId="0" applyNumberFormat="1" applyFont="1" applyBorder="1" applyAlignment="1">
      <alignment horizontal="center" vertical="center"/>
    </xf>
    <xf numFmtId="0" fontId="66" fillId="26" borderId="0" xfId="0" applyFont="1" applyFill="1" applyAlignment="1">
      <alignment vertical="center"/>
    </xf>
    <xf numFmtId="0" fontId="29" fillId="26" borderId="0" xfId="0" applyFont="1" applyFill="1" applyAlignment="1">
      <alignment horizontal="center" vertical="center"/>
    </xf>
    <xf numFmtId="168" fontId="29" fillId="26" borderId="0" xfId="0" applyNumberFormat="1" applyFont="1" applyFill="1" applyAlignment="1">
      <alignment vertical="center"/>
    </xf>
    <xf numFmtId="168" fontId="29" fillId="26" borderId="0" xfId="0" applyNumberFormat="1" applyFont="1" applyFill="1" applyBorder="1" applyAlignment="1">
      <alignment vertical="center"/>
    </xf>
    <xf numFmtId="0" fontId="66" fillId="26" borderId="0" xfId="0" applyNumberFormat="1" applyFont="1" applyFill="1" applyAlignment="1">
      <alignment vertical="center"/>
    </xf>
    <xf numFmtId="0" fontId="29" fillId="0" borderId="0" xfId="0" applyFont="1" applyFill="1" applyAlignment="1">
      <alignment horizontal="center" vertical="center"/>
    </xf>
    <xf numFmtId="168" fontId="29" fillId="0" borderId="0" xfId="0" applyNumberFormat="1" applyFont="1" applyFill="1" applyAlignment="1">
      <alignment vertical="center"/>
    </xf>
    <xf numFmtId="168" fontId="29" fillId="0" borderId="0" xfId="0" applyNumberFormat="1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29" fillId="0" borderId="0" xfId="0" applyNumberFormat="1" applyFont="1" applyFill="1" applyAlignment="1">
      <alignment vertical="center"/>
    </xf>
    <xf numFmtId="0" fontId="29" fillId="0" borderId="0" xfId="0" applyFont="1" applyFill="1" applyAlignment="1">
      <alignment vertical="center" wrapText="1"/>
    </xf>
    <xf numFmtId="0" fontId="29" fillId="0" borderId="14" xfId="0" applyFont="1" applyBorder="1" applyAlignment="1">
      <alignment vertical="center"/>
    </xf>
    <xf numFmtId="0" fontId="31" fillId="0" borderId="14" xfId="0" applyFont="1" applyBorder="1" applyAlignment="1">
      <alignment vertical="center"/>
    </xf>
    <xf numFmtId="168" fontId="31" fillId="0" borderId="12" xfId="0" applyNumberFormat="1" applyFont="1" applyBorder="1" applyAlignment="1">
      <alignment vertical="center"/>
    </xf>
    <xf numFmtId="168" fontId="31" fillId="0" borderId="0" xfId="0" applyNumberFormat="1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1" fontId="29" fillId="0" borderId="0" xfId="0" applyNumberFormat="1" applyFont="1" applyAlignment="1">
      <alignment vertical="center"/>
    </xf>
    <xf numFmtId="168" fontId="36" fillId="0" borderId="0" xfId="0" applyNumberFormat="1" applyFont="1" applyAlignment="1">
      <alignment horizontal="left" vertical="center"/>
    </xf>
    <xf numFmtId="168" fontId="34" fillId="24" borderId="0" xfId="0" applyNumberFormat="1" applyFont="1" applyFill="1" applyAlignment="1">
      <alignment vertical="center"/>
    </xf>
    <xf numFmtId="0" fontId="29" fillId="0" borderId="0" xfId="37" applyFont="1" applyAlignment="1">
      <alignment vertical="center"/>
    </xf>
    <xf numFmtId="168" fontId="36" fillId="0" borderId="10" xfId="0" applyNumberFormat="1" applyFont="1" applyBorder="1" applyAlignment="1">
      <alignment vertical="center"/>
    </xf>
    <xf numFmtId="168" fontId="29" fillId="0" borderId="10" xfId="0" applyNumberFormat="1" applyFont="1" applyBorder="1" applyAlignment="1">
      <alignment vertical="center"/>
    </xf>
    <xf numFmtId="168" fontId="31" fillId="0" borderId="0" xfId="0" applyNumberFormat="1" applyFont="1" applyBorder="1" applyAlignment="1">
      <alignment vertical="center"/>
    </xf>
    <xf numFmtId="168" fontId="36" fillId="0" borderId="0" xfId="0" applyNumberFormat="1" applyFont="1" applyBorder="1" applyAlignment="1">
      <alignment vertical="center"/>
    </xf>
    <xf numFmtId="0" fontId="27" fillId="0" borderId="0" xfId="37" applyFont="1" applyFill="1" applyAlignment="1">
      <alignment vertical="center"/>
    </xf>
    <xf numFmtId="168" fontId="34" fillId="0" borderId="11" xfId="0" applyNumberFormat="1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1" fontId="29" fillId="0" borderId="15" xfId="0" applyNumberFormat="1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168" fontId="40" fillId="0" borderId="12" xfId="0" applyNumberFormat="1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1" fontId="31" fillId="0" borderId="15" xfId="0" applyNumberFormat="1" applyFont="1" applyBorder="1" applyAlignment="1">
      <alignment vertical="center"/>
    </xf>
    <xf numFmtId="168" fontId="41" fillId="0" borderId="12" xfId="0" applyNumberFormat="1" applyFont="1" applyBorder="1" applyAlignment="1">
      <alignment vertical="center"/>
    </xf>
    <xf numFmtId="164" fontId="27" fillId="0" borderId="0" xfId="37" applyNumberFormat="1" applyFont="1" applyFill="1" applyAlignment="1">
      <alignment vertical="center"/>
    </xf>
    <xf numFmtId="168" fontId="29" fillId="0" borderId="16" xfId="0" applyNumberFormat="1" applyFont="1" applyBorder="1" applyAlignment="1">
      <alignment vertical="center"/>
    </xf>
    <xf numFmtId="0" fontId="29" fillId="0" borderId="18" xfId="0" applyFont="1" applyBorder="1" applyAlignment="1">
      <alignment vertical="center"/>
    </xf>
    <xf numFmtId="0" fontId="29" fillId="0" borderId="18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16" xfId="0" applyFont="1" applyBorder="1" applyAlignment="1">
      <alignment vertical="center"/>
    </xf>
    <xf numFmtId="168" fontId="31" fillId="0" borderId="16" xfId="0" applyNumberFormat="1" applyFont="1" applyBorder="1" applyAlignment="1">
      <alignment vertical="center"/>
    </xf>
    <xf numFmtId="0" fontId="31" fillId="0" borderId="12" xfId="0" applyFont="1" applyBorder="1" applyAlignment="1">
      <alignment vertical="center"/>
    </xf>
    <xf numFmtId="0" fontId="34" fillId="0" borderId="14" xfId="0" applyFont="1" applyBorder="1" applyAlignment="1">
      <alignment vertical="center"/>
    </xf>
    <xf numFmtId="168" fontId="29" fillId="27" borderId="0" xfId="0" applyNumberFormat="1" applyFont="1" applyFill="1" applyAlignment="1">
      <alignment vertical="center"/>
    </xf>
    <xf numFmtId="168" fontId="31" fillId="27" borderId="0" xfId="0" applyNumberFormat="1" applyFont="1" applyFill="1" applyAlignment="1">
      <alignment horizontal="center" vertical="center" wrapText="1"/>
    </xf>
    <xf numFmtId="168" fontId="31" fillId="27" borderId="0" xfId="0" applyNumberFormat="1" applyFont="1" applyFill="1" applyAlignment="1">
      <alignment vertical="center"/>
    </xf>
    <xf numFmtId="168" fontId="29" fillId="27" borderId="0" xfId="0" applyNumberFormat="1" applyFont="1" applyFill="1" applyBorder="1" applyAlignment="1">
      <alignment vertical="center"/>
    </xf>
    <xf numFmtId="169" fontId="29" fillId="0" borderId="12" xfId="0" applyNumberFormat="1" applyFont="1" applyBorder="1" applyAlignment="1">
      <alignment vertical="center"/>
    </xf>
    <xf numFmtId="0" fontId="44" fillId="0" borderId="0" xfId="0" applyFont="1"/>
    <xf numFmtId="168" fontId="41" fillId="0" borderId="12" xfId="0" applyNumberFormat="1" applyFont="1" applyBorder="1" applyAlignment="1">
      <alignment horizontal="center" vertical="center" wrapText="1"/>
    </xf>
    <xf numFmtId="169" fontId="40" fillId="0" borderId="12" xfId="0" applyNumberFormat="1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26" fillId="0" borderId="0" xfId="0" applyFont="1" applyAlignment="1">
      <alignment vertical="center" wrapText="1"/>
    </xf>
    <xf numFmtId="168" fontId="29" fillId="0" borderId="0" xfId="0" applyNumberFormat="1" applyFont="1" applyAlignment="1">
      <alignment horizontal="center" vertical="center"/>
    </xf>
    <xf numFmtId="0" fontId="31" fillId="0" borderId="17" xfId="0" applyFont="1" applyBorder="1" applyAlignment="1">
      <alignment horizontal="center" vertical="center" wrapText="1"/>
    </xf>
    <xf numFmtId="166" fontId="23" fillId="0" borderId="0" xfId="57" applyNumberFormat="1" applyFont="1" applyBorder="1" applyAlignment="1">
      <alignment vertical="center"/>
    </xf>
    <xf numFmtId="10" fontId="29" fillId="0" borderId="0" xfId="0" applyNumberFormat="1" applyFont="1" applyAlignment="1">
      <alignment vertical="center"/>
    </xf>
    <xf numFmtId="0" fontId="25" fillId="0" borderId="0" xfId="0" applyFont="1" applyAlignment="1">
      <alignment vertical="center" wrapText="1"/>
    </xf>
    <xf numFmtId="0" fontId="35" fillId="0" borderId="0" xfId="0" applyFont="1" applyAlignment="1">
      <alignment vertical="center" wrapText="1"/>
    </xf>
    <xf numFmtId="0" fontId="39" fillId="0" borderId="0" xfId="0" applyFont="1" applyBorder="1" applyAlignment="1">
      <alignment vertical="center" wrapText="1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25" borderId="0" xfId="0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vertical="center" wrapText="1"/>
    </xf>
    <xf numFmtId="164" fontId="29" fillId="0" borderId="0" xfId="0" applyNumberFormat="1" applyFont="1" applyAlignment="1">
      <alignment vertical="center"/>
    </xf>
    <xf numFmtId="164" fontId="34" fillId="0" borderId="0" xfId="0" applyNumberFormat="1" applyFont="1" applyAlignment="1">
      <alignment vertical="center"/>
    </xf>
    <xf numFmtId="0" fontId="31" fillId="0" borderId="12" xfId="0" applyFont="1" applyBorder="1" applyAlignment="1">
      <alignment horizontal="center" vertical="center"/>
    </xf>
    <xf numFmtId="43" fontId="31" fillId="0" borderId="14" xfId="0" applyNumberFormat="1" applyFont="1" applyBorder="1" applyAlignment="1">
      <alignment horizontal="center" vertical="center"/>
    </xf>
    <xf numFmtId="164" fontId="31" fillId="0" borderId="16" xfId="0" applyNumberFormat="1" applyFont="1" applyBorder="1" applyAlignment="1">
      <alignment horizontal="center" vertical="center"/>
    </xf>
    <xf numFmtId="164" fontId="31" fillId="0" borderId="12" xfId="0" applyNumberFormat="1" applyFont="1" applyBorder="1" applyAlignment="1">
      <alignment horizontal="center" vertical="center"/>
    </xf>
    <xf numFmtId="0" fontId="29" fillId="0" borderId="16" xfId="0" applyFont="1" applyBorder="1" applyAlignment="1">
      <alignment vertical="center"/>
    </xf>
    <xf numFmtId="0" fontId="29" fillId="0" borderId="12" xfId="0" applyFont="1" applyBorder="1" applyAlignment="1">
      <alignment horizontal="center" vertical="center"/>
    </xf>
    <xf numFmtId="9" fontId="29" fillId="0" borderId="14" xfId="58" applyFont="1" applyBorder="1" applyAlignment="1">
      <alignment horizontal="center" vertical="center"/>
    </xf>
    <xf numFmtId="164" fontId="29" fillId="0" borderId="16" xfId="0" applyNumberFormat="1" applyFont="1" applyBorder="1" applyAlignment="1">
      <alignment horizontal="center" vertical="center"/>
    </xf>
    <xf numFmtId="164" fontId="29" fillId="0" borderId="12" xfId="0" applyNumberFormat="1" applyFont="1" applyBorder="1" applyAlignment="1">
      <alignment horizontal="center" vertical="center"/>
    </xf>
    <xf numFmtId="9" fontId="31" fillId="0" borderId="14" xfId="58" applyFont="1" applyBorder="1" applyAlignment="1">
      <alignment horizontal="center" vertical="center"/>
    </xf>
    <xf numFmtId="164" fontId="58" fillId="0" borderId="0" xfId="0" applyNumberFormat="1" applyFont="1" applyAlignment="1">
      <alignment horizontal="left" vertical="center"/>
    </xf>
    <xf numFmtId="164" fontId="29" fillId="0" borderId="0" xfId="0" applyNumberFormat="1" applyFont="1" applyAlignment="1">
      <alignment vertical="center" wrapText="1"/>
    </xf>
    <xf numFmtId="44" fontId="29" fillId="0" borderId="0" xfId="59" applyFont="1" applyAlignment="1">
      <alignment vertical="center"/>
    </xf>
    <xf numFmtId="169" fontId="29" fillId="0" borderId="0" xfId="0" applyNumberFormat="1" applyFont="1" applyAlignment="1">
      <alignment vertical="center"/>
    </xf>
    <xf numFmtId="0" fontId="35" fillId="0" borderId="0" xfId="55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 wrapText="1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25" borderId="0" xfId="0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26" fillId="0" borderId="0" xfId="0" applyFont="1" applyAlignment="1">
      <alignment vertical="center" wrapText="1"/>
    </xf>
    <xf numFmtId="0" fontId="31" fillId="0" borderId="15" xfId="0" applyFont="1" applyBorder="1" applyAlignment="1">
      <alignment horizontal="center" vertical="center"/>
    </xf>
    <xf numFmtId="0" fontId="69" fillId="0" borderId="0" xfId="0" applyFont="1" applyAlignment="1">
      <alignment vertical="center"/>
    </xf>
    <xf numFmtId="0" fontId="34" fillId="0" borderId="0" xfId="55" applyFont="1" applyAlignment="1">
      <alignment vertical="center"/>
    </xf>
    <xf numFmtId="0" fontId="35" fillId="0" borderId="0" xfId="55" applyFont="1" applyAlignment="1">
      <alignment vertical="center"/>
    </xf>
    <xf numFmtId="1" fontId="34" fillId="0" borderId="0" xfId="0" applyNumberFormat="1" applyFont="1" applyAlignment="1">
      <alignment vertical="center"/>
    </xf>
    <xf numFmtId="164" fontId="35" fillId="0" borderId="0" xfId="37" applyNumberFormat="1" applyFont="1" applyAlignment="1">
      <alignment vertical="center"/>
    </xf>
    <xf numFmtId="164" fontId="34" fillId="0" borderId="0" xfId="37" applyNumberFormat="1" applyFont="1" applyAlignment="1">
      <alignment vertical="center"/>
    </xf>
    <xf numFmtId="0" fontId="34" fillId="0" borderId="0" xfId="0" applyFont="1" applyAlignment="1">
      <alignment vertical="center"/>
    </xf>
    <xf numFmtId="164" fontId="35" fillId="0" borderId="0" xfId="55" applyNumberFormat="1" applyFont="1" applyAlignment="1">
      <alignment vertical="center"/>
    </xf>
    <xf numFmtId="164" fontId="34" fillId="0" borderId="0" xfId="55" applyNumberFormat="1" applyFont="1" applyAlignment="1">
      <alignment vertical="center"/>
    </xf>
    <xf numFmtId="164" fontId="53" fillId="0" borderId="0" xfId="55" applyNumberFormat="1" applyFont="1" applyAlignment="1">
      <alignment vertical="center"/>
    </xf>
    <xf numFmtId="164" fontId="55" fillId="0" borderId="0" xfId="55" applyNumberFormat="1" applyFont="1" applyAlignment="1">
      <alignment vertical="center"/>
    </xf>
    <xf numFmtId="0" fontId="35" fillId="0" borderId="0" xfId="0" applyFont="1"/>
    <xf numFmtId="0" fontId="70" fillId="0" borderId="0" xfId="0" applyFont="1"/>
    <xf numFmtId="0" fontId="71" fillId="0" borderId="0" xfId="37" applyFont="1" applyAlignment="1">
      <alignment vertical="center"/>
    </xf>
    <xf numFmtId="0" fontId="34" fillId="0" borderId="0" xfId="37" applyFont="1" applyAlignment="1">
      <alignment vertical="center"/>
    </xf>
    <xf numFmtId="0" fontId="71" fillId="0" borderId="0" xfId="0" applyFont="1"/>
    <xf numFmtId="0" fontId="35" fillId="0" borderId="0" xfId="37" applyFont="1" applyAlignment="1">
      <alignment vertical="center"/>
    </xf>
    <xf numFmtId="0" fontId="35" fillId="0" borderId="0" xfId="0" applyFont="1" applyBorder="1" applyAlignment="1">
      <alignment vertical="center"/>
    </xf>
    <xf numFmtId="0" fontId="35" fillId="0" borderId="16" xfId="0" applyFont="1" applyBorder="1" applyAlignment="1">
      <alignment vertical="center"/>
    </xf>
    <xf numFmtId="0" fontId="34" fillId="0" borderId="16" xfId="0" applyFont="1" applyBorder="1" applyAlignment="1">
      <alignment vertical="center"/>
    </xf>
    <xf numFmtId="164" fontId="35" fillId="0" borderId="0" xfId="55" applyNumberFormat="1" applyFont="1" applyBorder="1"/>
    <xf numFmtId="168" fontId="35" fillId="0" borderId="0" xfId="0" applyNumberFormat="1" applyFont="1" applyBorder="1"/>
    <xf numFmtId="168" fontId="35" fillId="0" borderId="0" xfId="55" applyNumberFormat="1" applyFont="1" applyBorder="1"/>
    <xf numFmtId="164" fontId="35" fillId="0" borderId="0" xfId="0" applyNumberFormat="1" applyFont="1" applyBorder="1"/>
    <xf numFmtId="168" fontId="35" fillId="0" borderId="0" xfId="57" applyNumberFormat="1" applyFont="1" applyBorder="1"/>
    <xf numFmtId="168" fontId="34" fillId="0" borderId="0" xfId="55" applyNumberFormat="1" applyFont="1" applyFill="1" applyBorder="1"/>
    <xf numFmtId="0" fontId="31" fillId="28" borderId="0" xfId="0" applyFont="1" applyFill="1" applyBorder="1" applyAlignment="1">
      <alignment horizontal="center" vertical="center"/>
    </xf>
    <xf numFmtId="0" fontId="29" fillId="28" borderId="0" xfId="0" applyFont="1" applyFill="1"/>
    <xf numFmtId="0" fontId="34" fillId="28" borderId="0" xfId="0" applyFont="1" applyFill="1"/>
    <xf numFmtId="164" fontId="34" fillId="28" borderId="0" xfId="55" applyNumberFormat="1" applyFont="1" applyFill="1" applyAlignment="1">
      <alignment vertical="center"/>
    </xf>
    <xf numFmtId="1" fontId="34" fillId="28" borderId="0" xfId="0" applyNumberFormat="1" applyFont="1" applyFill="1" applyAlignment="1">
      <alignment vertical="center"/>
    </xf>
    <xf numFmtId="164" fontId="34" fillId="28" borderId="0" xfId="37" applyNumberFormat="1" applyFont="1" applyFill="1" applyAlignment="1">
      <alignment vertical="center"/>
    </xf>
    <xf numFmtId="168" fontId="29" fillId="28" borderId="0" xfId="0" applyNumberFormat="1" applyFont="1" applyFill="1" applyAlignment="1">
      <alignment vertical="center"/>
    </xf>
    <xf numFmtId="0" fontId="29" fillId="28" borderId="0" xfId="0" applyFont="1" applyFill="1" applyAlignment="1">
      <alignment vertical="center"/>
    </xf>
    <xf numFmtId="0" fontId="72" fillId="0" borderId="0" xfId="0" applyFont="1" applyBorder="1" applyAlignment="1">
      <alignment vertical="center"/>
    </xf>
    <xf numFmtId="0" fontId="72" fillId="0" borderId="0" xfId="0" applyFont="1" applyBorder="1" applyAlignment="1">
      <alignment horizontal="center" vertical="center"/>
    </xf>
    <xf numFmtId="0" fontId="72" fillId="0" borderId="0" xfId="0" applyFont="1" applyAlignment="1">
      <alignment vertical="center"/>
    </xf>
    <xf numFmtId="0" fontId="72" fillId="0" borderId="0" xfId="0" applyFont="1" applyAlignment="1">
      <alignment vertical="center" wrapText="1"/>
    </xf>
    <xf numFmtId="0" fontId="73" fillId="0" borderId="0" xfId="0" applyFont="1"/>
    <xf numFmtId="0" fontId="74" fillId="0" borderId="0" xfId="0" applyFont="1"/>
    <xf numFmtId="0" fontId="72" fillId="0" borderId="0" xfId="0" applyFont="1"/>
    <xf numFmtId="164" fontId="29" fillId="28" borderId="0" xfId="0" applyNumberFormat="1" applyFont="1" applyFill="1" applyAlignment="1">
      <alignment vertical="center"/>
    </xf>
    <xf numFmtId="164" fontId="55" fillId="28" borderId="0" xfId="55" applyNumberFormat="1" applyFont="1" applyFill="1" applyAlignment="1">
      <alignment vertical="center"/>
    </xf>
    <xf numFmtId="168" fontId="29" fillId="28" borderId="0" xfId="57" applyNumberFormat="1" applyFont="1" applyFill="1" applyAlignment="1">
      <alignment vertical="center"/>
    </xf>
    <xf numFmtId="168" fontId="29" fillId="28" borderId="0" xfId="57" applyNumberFormat="1" applyFont="1" applyFill="1"/>
    <xf numFmtId="168" fontId="29" fillId="28" borderId="0" xfId="0" applyNumberFormat="1" applyFont="1" applyFill="1"/>
    <xf numFmtId="168" fontId="56" fillId="28" borderId="0" xfId="57" applyNumberFormat="1" applyFont="1" applyFill="1" applyAlignment="1">
      <alignment vertical="center"/>
    </xf>
    <xf numFmtId="0" fontId="23" fillId="0" borderId="0" xfId="55" applyFont="1" applyBorder="1" applyAlignment="1">
      <alignment vertical="center"/>
    </xf>
    <xf numFmtId="0" fontId="75" fillId="0" borderId="0" xfId="0" applyFont="1" applyAlignment="1">
      <alignment vertical="center" wrapText="1"/>
    </xf>
    <xf numFmtId="0" fontId="75" fillId="0" borderId="0" xfId="0" applyFont="1" applyBorder="1" applyAlignment="1">
      <alignment vertical="center" wrapText="1"/>
    </xf>
    <xf numFmtId="0" fontId="76" fillId="0" borderId="0" xfId="0" applyFont="1" applyAlignment="1">
      <alignment vertical="center" wrapText="1"/>
    </xf>
    <xf numFmtId="0" fontId="77" fillId="0" borderId="0" xfId="0" applyFont="1" applyAlignment="1">
      <alignment vertical="center"/>
    </xf>
    <xf numFmtId="1" fontId="31" fillId="0" borderId="0" xfId="0" applyNumberFormat="1" applyFont="1" applyAlignment="1">
      <alignment vertical="center"/>
    </xf>
    <xf numFmtId="0" fontId="41" fillId="0" borderId="12" xfId="0" applyFont="1" applyBorder="1" applyAlignment="1">
      <alignment horizontal="center" vertical="center"/>
    </xf>
    <xf numFmtId="168" fontId="41" fillId="0" borderId="12" xfId="0" applyNumberFormat="1" applyFont="1" applyBorder="1" applyAlignment="1">
      <alignment horizontal="center" vertical="center"/>
    </xf>
    <xf numFmtId="1" fontId="35" fillId="0" borderId="0" xfId="0" applyNumberFormat="1" applyFont="1" applyAlignment="1">
      <alignment vertical="center"/>
    </xf>
    <xf numFmtId="0" fontId="41" fillId="0" borderId="0" xfId="0" applyFont="1"/>
    <xf numFmtId="168" fontId="0" fillId="0" borderId="0" xfId="0" applyNumberFormat="1" applyBorder="1" applyAlignment="1">
      <alignment vertical="center" wrapText="1"/>
    </xf>
    <xf numFmtId="168" fontId="80" fillId="0" borderId="12" xfId="0" applyNumberFormat="1" applyFont="1" applyBorder="1" applyAlignment="1">
      <alignment horizontal="center" vertical="center" wrapText="1"/>
    </xf>
    <xf numFmtId="168" fontId="29" fillId="28" borderId="16" xfId="0" applyNumberFormat="1" applyFont="1" applyFill="1" applyBorder="1" applyAlignment="1">
      <alignment vertical="center"/>
    </xf>
    <xf numFmtId="0" fontId="29" fillId="0" borderId="14" xfId="0" applyFont="1" applyFill="1" applyBorder="1" applyAlignment="1">
      <alignment vertical="center"/>
    </xf>
    <xf numFmtId="0" fontId="29" fillId="0" borderId="15" xfId="0" applyFont="1" applyFill="1" applyBorder="1" applyAlignment="1">
      <alignment horizontal="center" vertical="center"/>
    </xf>
    <xf numFmtId="168" fontId="29" fillId="0" borderId="16" xfId="0" applyNumberFormat="1" applyFont="1" applyFill="1" applyBorder="1" applyAlignment="1">
      <alignment vertical="center"/>
    </xf>
    <xf numFmtId="164" fontId="34" fillId="0" borderId="0" xfId="37" applyNumberFormat="1" applyFont="1" applyFill="1" applyAlignment="1">
      <alignment vertical="center"/>
    </xf>
    <xf numFmtId="168" fontId="80" fillId="0" borderId="17" xfId="0" applyNumberFormat="1" applyFont="1" applyBorder="1" applyAlignment="1">
      <alignment horizontal="center" vertical="center" wrapText="1"/>
    </xf>
    <xf numFmtId="167" fontId="29" fillId="28" borderId="0" xfId="58" applyNumberFormat="1" applyFont="1" applyFill="1" applyAlignment="1">
      <alignment vertical="center"/>
    </xf>
    <xf numFmtId="168" fontId="29" fillId="29" borderId="12" xfId="0" applyNumberFormat="1" applyFont="1" applyFill="1" applyBorder="1" applyAlignment="1">
      <alignment vertical="center"/>
    </xf>
    <xf numFmtId="9" fontId="29" fillId="29" borderId="12" xfId="58" applyFont="1" applyFill="1" applyBorder="1" applyAlignment="1">
      <alignment horizontal="center" vertical="center"/>
    </xf>
    <xf numFmtId="164" fontId="40" fillId="0" borderId="14" xfId="37" applyNumberFormat="1" applyFont="1" applyBorder="1" applyAlignment="1">
      <alignment vertical="center" wrapText="1"/>
    </xf>
    <xf numFmtId="0" fontId="40" fillId="0" borderId="14" xfId="0" applyFont="1" applyBorder="1" applyAlignment="1">
      <alignment vertical="center" wrapText="1"/>
    </xf>
    <xf numFmtId="164" fontId="29" fillId="0" borderId="0" xfId="0" applyNumberFormat="1" applyFont="1" applyFill="1" applyAlignment="1">
      <alignment vertical="center"/>
    </xf>
    <xf numFmtId="0" fontId="0" fillId="0" borderId="0" xfId="0" quotePrefix="1"/>
    <xf numFmtId="0" fontId="29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168" fontId="29" fillId="0" borderId="21" xfId="0" quotePrefix="1" applyNumberFormat="1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168" fontId="31" fillId="0" borderId="24" xfId="0" applyNumberFormat="1" applyFont="1" applyFill="1" applyBorder="1" applyAlignment="1">
      <alignment vertical="center" wrapText="1"/>
    </xf>
    <xf numFmtId="0" fontId="73" fillId="0" borderId="0" xfId="0" applyFont="1" applyAlignment="1">
      <alignment vertical="center" wrapText="1"/>
    </xf>
    <xf numFmtId="168" fontId="31" fillId="0" borderId="12" xfId="0" applyNumberFormat="1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168" fontId="29" fillId="0" borderId="21" xfId="0" applyNumberFormat="1" applyFont="1" applyBorder="1" applyAlignment="1">
      <alignment vertical="center" wrapText="1"/>
    </xf>
    <xf numFmtId="168" fontId="31" fillId="0" borderId="14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31" fillId="0" borderId="14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168" fontId="31" fillId="0" borderId="14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8" fontId="29" fillId="0" borderId="0" xfId="0" applyNumberFormat="1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39" fillId="0" borderId="0" xfId="55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35" fillId="0" borderId="0" xfId="55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 wrapText="1"/>
    </xf>
    <xf numFmtId="0" fontId="72" fillId="0" borderId="26" xfId="0" applyFont="1" applyBorder="1" applyAlignment="1">
      <alignment horizontal="center" vertical="center"/>
    </xf>
    <xf numFmtId="0" fontId="72" fillId="0" borderId="27" xfId="0" applyFont="1" applyBorder="1" applyAlignment="1">
      <alignment horizontal="center" vertical="center"/>
    </xf>
    <xf numFmtId="0" fontId="72" fillId="0" borderId="28" xfId="0" applyFont="1" applyBorder="1" applyAlignment="1">
      <alignment horizontal="center" vertical="center"/>
    </xf>
    <xf numFmtId="0" fontId="39" fillId="0" borderId="0" xfId="0" applyFont="1" applyBorder="1" applyAlignment="1">
      <alignment vertical="center" wrapText="1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25" borderId="0" xfId="0" applyFont="1" applyFill="1" applyBorder="1" applyAlignment="1">
      <alignment horizontal="center" vertical="center"/>
    </xf>
    <xf numFmtId="0" fontId="73" fillId="0" borderId="28" xfId="0" applyFont="1" applyBorder="1" applyAlignment="1">
      <alignment vertical="center"/>
    </xf>
    <xf numFmtId="0" fontId="73" fillId="0" borderId="27" xfId="0" applyFont="1" applyBorder="1" applyAlignment="1">
      <alignment vertical="center"/>
    </xf>
    <xf numFmtId="0" fontId="47" fillId="0" borderId="0" xfId="55" applyFont="1" applyBorder="1" applyAlignment="1">
      <alignment vertical="center" wrapText="1"/>
    </xf>
    <xf numFmtId="0" fontId="47" fillId="0" borderId="0" xfId="55" applyFont="1" applyFill="1" applyBorder="1" applyAlignment="1">
      <alignment horizontal="center" vertical="center" wrapText="1"/>
    </xf>
    <xf numFmtId="0" fontId="78" fillId="0" borderId="0" xfId="0" applyFont="1" applyAlignment="1">
      <alignment vertical="center" wrapText="1"/>
    </xf>
    <xf numFmtId="0" fontId="79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75" fillId="0" borderId="0" xfId="55" applyFont="1" applyFill="1" applyBorder="1" applyAlignment="1">
      <alignment horizontal="left" vertical="center" wrapText="1"/>
    </xf>
    <xf numFmtId="0" fontId="75" fillId="0" borderId="0" xfId="0" applyFont="1" applyAlignment="1">
      <alignment horizontal="left" vertical="center" wrapText="1"/>
    </xf>
    <xf numFmtId="0" fontId="35" fillId="25" borderId="0" xfId="0" applyFont="1" applyFill="1" applyBorder="1" applyAlignment="1">
      <alignment horizontal="center" vertical="center"/>
    </xf>
    <xf numFmtId="0" fontId="75" fillId="0" borderId="0" xfId="55" applyFont="1" applyFill="1" applyBorder="1" applyAlignment="1">
      <alignment horizontal="center" vertical="center" wrapText="1"/>
    </xf>
    <xf numFmtId="0" fontId="75" fillId="0" borderId="0" xfId="0" applyFont="1" applyBorder="1" applyAlignment="1">
      <alignment vertical="center" wrapText="1"/>
    </xf>
    <xf numFmtId="0" fontId="31" fillId="25" borderId="0" xfId="0" applyFont="1" applyFill="1" applyAlignment="1">
      <alignment horizontal="center" vertical="center"/>
    </xf>
    <xf numFmtId="0" fontId="73" fillId="0" borderId="28" xfId="0" applyFont="1" applyBorder="1" applyAlignment="1"/>
    <xf numFmtId="0" fontId="73" fillId="0" borderId="27" xfId="0" applyFont="1" applyBorder="1" applyAlignment="1"/>
    <xf numFmtId="0" fontId="0" fillId="0" borderId="0" xfId="0" applyAlignment="1"/>
    <xf numFmtId="0" fontId="76" fillId="0" borderId="0" xfId="0" applyFont="1" applyAlignment="1">
      <alignment vertical="center" wrapText="1"/>
    </xf>
    <xf numFmtId="0" fontId="29" fillId="0" borderId="0" xfId="0" applyFont="1" applyAlignment="1">
      <alignment vertical="center" wrapText="1"/>
    </xf>
    <xf numFmtId="0" fontId="35" fillId="0" borderId="0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75" fillId="0" borderId="0" xfId="0" applyFont="1" applyAlignment="1">
      <alignment vertical="center" wrapText="1"/>
    </xf>
    <xf numFmtId="164" fontId="29" fillId="0" borderId="0" xfId="37" applyNumberFormat="1" applyFont="1" applyAlignment="1">
      <alignment vertical="center" wrapText="1"/>
    </xf>
    <xf numFmtId="0" fontId="31" fillId="0" borderId="28" xfId="0" applyFont="1" applyBorder="1" applyAlignment="1">
      <alignment horizontal="center" vertical="center"/>
    </xf>
    <xf numFmtId="0" fontId="29" fillId="0" borderId="0" xfId="0" applyFont="1" applyAlignment="1">
      <alignment wrapText="1"/>
    </xf>
    <xf numFmtId="0" fontId="0" fillId="0" borderId="0" xfId="0" applyAlignment="1">
      <alignment wrapText="1"/>
    </xf>
  </cellXfs>
  <cellStyles count="60">
    <cellStyle name="20% - Accent1" xfId="1" builtinId="30" customBuiltin="1"/>
    <cellStyle name="20% - Accent1 2" xfId="43" xr:uid="{00000000-0005-0000-0000-000001000000}"/>
    <cellStyle name="20% - Accent2" xfId="2" builtinId="34" customBuiltin="1"/>
    <cellStyle name="20% - Accent2 2" xfId="44" xr:uid="{00000000-0005-0000-0000-000003000000}"/>
    <cellStyle name="20% - Accent3" xfId="3" builtinId="38" customBuiltin="1"/>
    <cellStyle name="20% - Accent3 2" xfId="45" xr:uid="{00000000-0005-0000-0000-000005000000}"/>
    <cellStyle name="20% - Accent4" xfId="4" builtinId="42" customBuiltin="1"/>
    <cellStyle name="20% - Accent4 2" xfId="46" xr:uid="{00000000-0005-0000-0000-000007000000}"/>
    <cellStyle name="20% - Accent5" xfId="5" builtinId="46" customBuiltin="1"/>
    <cellStyle name="20% - Accent5 2" xfId="47" xr:uid="{00000000-0005-0000-0000-000009000000}"/>
    <cellStyle name="20% - Accent6" xfId="6" builtinId="50" customBuiltin="1"/>
    <cellStyle name="20% - Accent6 2" xfId="48" xr:uid="{00000000-0005-0000-0000-00000B000000}"/>
    <cellStyle name="40% - Accent1" xfId="7" builtinId="31" customBuiltin="1"/>
    <cellStyle name="40% - Accent1 2" xfId="49" xr:uid="{00000000-0005-0000-0000-00000D000000}"/>
    <cellStyle name="40% - Accent2" xfId="8" builtinId="35" customBuiltin="1"/>
    <cellStyle name="40% - Accent2 2" xfId="50" xr:uid="{00000000-0005-0000-0000-00000F000000}"/>
    <cellStyle name="40% - Accent3" xfId="9" builtinId="39" customBuiltin="1"/>
    <cellStyle name="40% - Accent3 2" xfId="51" xr:uid="{00000000-0005-0000-0000-000011000000}"/>
    <cellStyle name="40% - Accent4" xfId="10" builtinId="43" customBuiltin="1"/>
    <cellStyle name="40% - Accent4 2" xfId="52" xr:uid="{00000000-0005-0000-0000-000013000000}"/>
    <cellStyle name="40% - Accent5" xfId="11" builtinId="47" customBuiltin="1"/>
    <cellStyle name="40% - Accent5 2" xfId="53" xr:uid="{00000000-0005-0000-0000-000015000000}"/>
    <cellStyle name="40% - Accent6" xfId="12" builtinId="51" customBuiltin="1"/>
    <cellStyle name="40% - Accent6 2" xfId="54" xr:uid="{00000000-0005-0000-0000-000017000000}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57" builtinId="3"/>
    <cellStyle name="Currency" xfId="59" builtinId="4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Sheet1" xfId="37" xr:uid="{00000000-0005-0000-0000-000033000000}"/>
    <cellStyle name="Normal_Sheet1 2" xfId="55" xr:uid="{00000000-0005-0000-0000-000034000000}"/>
    <cellStyle name="Note" xfId="38" builtinId="10" customBuiltin="1"/>
    <cellStyle name="Note 2" xfId="56" xr:uid="{00000000-0005-0000-0000-000036000000}"/>
    <cellStyle name="Output" xfId="39" builtinId="21" customBuiltin="1"/>
    <cellStyle name="Percent" xfId="58" builtinId="5"/>
    <cellStyle name="Title" xfId="40" builtinId="15" customBuiltin="1"/>
    <cellStyle name="Total" xfId="41" builtinId="25" customBuiltin="1"/>
    <cellStyle name="Warning Text" xfId="42" builtinId="11" customBuiltin="1"/>
  </cellStyles>
  <dxfs count="1">
    <dxf>
      <font>
        <color rgb="FF0070C0"/>
      </font>
    </dxf>
  </dxfs>
  <tableStyles count="0" defaultTableStyle="TableStyleMedium9" defaultPivotStyle="PivotStyleLight16"/>
  <colors>
    <mruColors>
      <color rgb="FFCCFFFF"/>
      <color rgb="FFFFFFCC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AA104"/>
  <sheetViews>
    <sheetView showGridLines="0" topLeftCell="A95" workbookViewId="0">
      <selection activeCell="I111" sqref="I111"/>
    </sheetView>
  </sheetViews>
  <sheetFormatPr defaultColWidth="9.140625" defaultRowHeight="15" x14ac:dyDescent="0.2"/>
  <cols>
    <col min="1" max="1" width="22.7109375" style="198" customWidth="1"/>
    <col min="2" max="2" width="9.7109375" style="200" customWidth="1"/>
    <col min="3" max="4" width="11.7109375" style="81" customWidth="1"/>
    <col min="5" max="5" width="2.7109375" style="201" customWidth="1"/>
    <col min="6" max="6" width="11.7109375" style="90" customWidth="1"/>
    <col min="7" max="7" width="11.7109375" style="81" customWidth="1"/>
    <col min="8" max="8" width="2.7109375" style="81" customWidth="1"/>
    <col min="9" max="15" width="11.7109375" style="81" customWidth="1"/>
    <col min="16" max="16" width="5.7109375" style="81" customWidth="1"/>
    <col min="17" max="17" width="2.7109375" style="252" customWidth="1"/>
    <col min="18" max="18" width="5.7109375" style="81" customWidth="1"/>
    <col min="19" max="21" width="10.7109375" style="81" customWidth="1"/>
    <col min="22" max="22" width="2.7109375" style="81" customWidth="1"/>
    <col min="23" max="24" width="10.7109375" style="81" customWidth="1"/>
    <col min="25" max="27" width="9.140625" style="81"/>
    <col min="28" max="16384" width="9.140625" style="198"/>
  </cols>
  <sheetData>
    <row r="1" spans="1:27" ht="26.25" x14ac:dyDescent="0.2">
      <c r="A1" s="210" t="s">
        <v>234</v>
      </c>
      <c r="B1" s="211"/>
      <c r="C1" s="212"/>
      <c r="D1" s="214"/>
      <c r="E1" s="213"/>
      <c r="F1" s="212"/>
      <c r="G1" s="212"/>
      <c r="H1" s="212"/>
      <c r="I1" s="212"/>
      <c r="J1" s="212"/>
      <c r="K1" s="212"/>
      <c r="L1" s="212"/>
      <c r="M1" s="212"/>
      <c r="N1" s="212"/>
      <c r="O1" s="212"/>
      <c r="S1" s="210" t="s">
        <v>240</v>
      </c>
      <c r="T1" s="214"/>
      <c r="U1" s="214"/>
      <c r="V1" s="213"/>
      <c r="W1" s="212"/>
      <c r="X1" s="212"/>
      <c r="Y1" s="198"/>
      <c r="Z1" s="198"/>
    </row>
    <row r="2" spans="1:27" x14ac:dyDescent="0.2">
      <c r="F2" s="81"/>
      <c r="W2" s="100">
        <f>X2/W20</f>
        <v>0.89417989417989419</v>
      </c>
      <c r="X2" s="81">
        <f>1690*1.2</f>
        <v>2028</v>
      </c>
    </row>
    <row r="3" spans="1:27" ht="30" customHeight="1" x14ac:dyDescent="0.2">
      <c r="A3" s="391" t="s">
        <v>277</v>
      </c>
      <c r="B3" s="392"/>
      <c r="C3" s="392"/>
      <c r="D3" s="392"/>
      <c r="E3" s="389"/>
      <c r="F3" s="389"/>
      <c r="G3" s="390"/>
      <c r="I3" s="393" t="s">
        <v>269</v>
      </c>
      <c r="J3" s="394"/>
      <c r="K3" s="391" t="s">
        <v>257</v>
      </c>
      <c r="L3" s="392"/>
      <c r="M3" s="395"/>
      <c r="N3" s="395"/>
      <c r="O3" s="394"/>
      <c r="S3" s="388" t="s">
        <v>90</v>
      </c>
      <c r="T3" s="389"/>
      <c r="U3" s="390"/>
      <c r="W3" s="385" t="s">
        <v>199</v>
      </c>
      <c r="X3" s="386"/>
    </row>
    <row r="4" spans="1:27" s="206" customFormat="1" ht="57" x14ac:dyDescent="0.2">
      <c r="A4" s="263"/>
      <c r="B4" s="263" t="s">
        <v>194</v>
      </c>
      <c r="C4" s="205" t="s">
        <v>278</v>
      </c>
      <c r="D4" s="205" t="s">
        <v>256</v>
      </c>
      <c r="F4" s="364" t="s">
        <v>279</v>
      </c>
      <c r="G4" s="205" t="s">
        <v>198</v>
      </c>
      <c r="H4" s="203"/>
      <c r="I4" s="202" t="s">
        <v>258</v>
      </c>
      <c r="J4" s="202" t="s">
        <v>198</v>
      </c>
      <c r="K4" s="202" t="s">
        <v>271</v>
      </c>
      <c r="L4" s="202" t="s">
        <v>270</v>
      </c>
      <c r="M4" s="358" t="s">
        <v>272</v>
      </c>
      <c r="N4" s="358" t="s">
        <v>273</v>
      </c>
      <c r="O4" s="202" t="s">
        <v>198</v>
      </c>
      <c r="P4" s="204"/>
      <c r="Q4" s="253"/>
      <c r="R4" s="204"/>
      <c r="S4" s="202" t="s">
        <v>239</v>
      </c>
      <c r="T4" s="202" t="s">
        <v>198</v>
      </c>
      <c r="U4" s="258" t="s">
        <v>241</v>
      </c>
      <c r="V4" s="204"/>
      <c r="W4" s="202" t="s">
        <v>338</v>
      </c>
      <c r="X4" s="202" t="s">
        <v>118</v>
      </c>
      <c r="Y4" s="204"/>
      <c r="Z4" s="204"/>
      <c r="AA4" s="204"/>
    </row>
    <row r="5" spans="1:27" x14ac:dyDescent="0.2">
      <c r="A5" s="176" t="s">
        <v>196</v>
      </c>
      <c r="B5" s="182">
        <v>187</v>
      </c>
      <c r="C5" s="207">
        <v>8500</v>
      </c>
      <c r="D5" s="367">
        <v>0.85</v>
      </c>
      <c r="E5" s="209"/>
      <c r="F5" s="366">
        <f t="shared" ref="F5:F18" si="0">C5*D5</f>
        <v>7225</v>
      </c>
      <c r="G5" s="207">
        <f t="shared" ref="G5:G18" si="1">F5/B5</f>
        <v>38.636363636363633</v>
      </c>
      <c r="H5" s="208"/>
      <c r="I5" s="207">
        <v>25375</v>
      </c>
      <c r="J5" s="207">
        <f t="shared" ref="J5:J18" si="2">I5/B5</f>
        <v>135.69518716577539</v>
      </c>
      <c r="K5" s="207">
        <v>-9687</v>
      </c>
      <c r="L5" s="207">
        <f t="shared" ref="L5:L19" si="3">I5+K5</f>
        <v>15688</v>
      </c>
      <c r="M5" s="207">
        <f>'Communal Management Costs'!G76</f>
        <v>8500</v>
      </c>
      <c r="N5" s="207">
        <f>L5+M5</f>
        <v>24188</v>
      </c>
      <c r="O5" s="207">
        <f t="shared" ref="O5:O18" si="4">N5/B5</f>
        <v>129.3475935828877</v>
      </c>
      <c r="S5" s="207"/>
      <c r="T5" s="207"/>
      <c r="U5" s="239"/>
      <c r="W5" s="207"/>
      <c r="X5" s="207"/>
    </row>
    <row r="6" spans="1:27" x14ac:dyDescent="0.2">
      <c r="A6" s="176" t="s">
        <v>65</v>
      </c>
      <c r="B6" s="182">
        <v>187</v>
      </c>
      <c r="C6" s="207">
        <v>12000</v>
      </c>
      <c r="D6" s="367">
        <v>0.85</v>
      </c>
      <c r="E6" s="209"/>
      <c r="F6" s="366">
        <f t="shared" si="0"/>
        <v>10200</v>
      </c>
      <c r="G6" s="207">
        <f t="shared" si="1"/>
        <v>54.545454545454547</v>
      </c>
      <c r="H6" s="208"/>
      <c r="I6" s="207">
        <v>2063</v>
      </c>
      <c r="J6" s="207">
        <f t="shared" si="2"/>
        <v>11.032085561497325</v>
      </c>
      <c r="K6" s="207">
        <v>-9304</v>
      </c>
      <c r="L6" s="207">
        <f t="shared" si="3"/>
        <v>-7241</v>
      </c>
      <c r="M6" s="207">
        <f>'Leisure Suite'!G67</f>
        <v>12000</v>
      </c>
      <c r="N6" s="207">
        <f t="shared" ref="N6:N18" si="5">L6+M6</f>
        <v>4759</v>
      </c>
      <c r="O6" s="207">
        <f t="shared" si="4"/>
        <v>25.449197860962567</v>
      </c>
      <c r="S6" s="207"/>
      <c r="T6" s="207"/>
      <c r="U6" s="239"/>
      <c r="W6" s="207">
        <v>732</v>
      </c>
      <c r="X6" s="207">
        <f>W6*$W$2</f>
        <v>654.53968253968253</v>
      </c>
    </row>
    <row r="7" spans="1:27" x14ac:dyDescent="0.2">
      <c r="A7" s="176" t="s">
        <v>254</v>
      </c>
      <c r="B7" s="182">
        <f>Alexandra!O1</f>
        <v>4</v>
      </c>
      <c r="C7" s="207">
        <v>600</v>
      </c>
      <c r="D7" s="367">
        <v>0.85</v>
      </c>
      <c r="E7" s="209"/>
      <c r="F7" s="366">
        <f t="shared" si="0"/>
        <v>510</v>
      </c>
      <c r="G7" s="207">
        <f t="shared" si="1"/>
        <v>127.5</v>
      </c>
      <c r="I7" s="207">
        <v>11517</v>
      </c>
      <c r="J7" s="207">
        <f t="shared" si="2"/>
        <v>2879.25</v>
      </c>
      <c r="K7" s="207">
        <v>-1683</v>
      </c>
      <c r="L7" s="207">
        <f t="shared" si="3"/>
        <v>9834</v>
      </c>
      <c r="M7" s="207">
        <f>Alexandra!G26</f>
        <v>180</v>
      </c>
      <c r="N7" s="207">
        <f t="shared" si="5"/>
        <v>10014</v>
      </c>
      <c r="O7" s="207">
        <f t="shared" si="4"/>
        <v>2503.5</v>
      </c>
      <c r="S7" s="207"/>
      <c r="T7" s="207"/>
      <c r="U7" s="239"/>
      <c r="W7" s="207">
        <v>132</v>
      </c>
      <c r="X7" s="207">
        <f>W7*$W$2</f>
        <v>118.03174603174604</v>
      </c>
    </row>
    <row r="8" spans="1:27" x14ac:dyDescent="0.2">
      <c r="A8" s="176" t="s">
        <v>195</v>
      </c>
      <c r="B8" s="182">
        <f>'Alexandra Building'!O1</f>
        <v>9</v>
      </c>
      <c r="C8" s="207">
        <v>3500</v>
      </c>
      <c r="D8" s="367">
        <v>0.85</v>
      </c>
      <c r="E8" s="209"/>
      <c r="F8" s="366">
        <f t="shared" si="0"/>
        <v>2975</v>
      </c>
      <c r="G8" s="207">
        <f t="shared" si="1"/>
        <v>330.55555555555554</v>
      </c>
      <c r="I8" s="207">
        <v>9258</v>
      </c>
      <c r="J8" s="207">
        <f t="shared" si="2"/>
        <v>1028.6666666666667</v>
      </c>
      <c r="K8" s="207">
        <v>1038</v>
      </c>
      <c r="L8" s="207">
        <f t="shared" si="3"/>
        <v>10296</v>
      </c>
      <c r="M8" s="207">
        <f>'Alexandra Building'!G12</f>
        <v>3675</v>
      </c>
      <c r="N8" s="207">
        <f t="shared" si="5"/>
        <v>13971</v>
      </c>
      <c r="O8" s="207">
        <f t="shared" si="4"/>
        <v>1552.3333333333333</v>
      </c>
      <c r="S8" s="207">
        <f>'Alexandra Building'!G7</f>
        <v>500</v>
      </c>
      <c r="T8" s="256">
        <f t="shared" ref="T8:T15" si="6">S8/B8</f>
        <v>55.555555555555557</v>
      </c>
      <c r="U8" s="259">
        <f t="shared" ref="U8:U15" si="7">B8*52</f>
        <v>468</v>
      </c>
      <c r="W8" s="207"/>
      <c r="X8" s="207"/>
      <c r="Z8" s="289"/>
    </row>
    <row r="9" spans="1:27" x14ac:dyDescent="0.2">
      <c r="A9" s="176" t="s">
        <v>55</v>
      </c>
      <c r="B9" s="182">
        <f>Cliffe!O1</f>
        <v>6</v>
      </c>
      <c r="C9" s="207">
        <v>3700</v>
      </c>
      <c r="D9" s="367">
        <v>0.85</v>
      </c>
      <c r="E9" s="209"/>
      <c r="F9" s="366">
        <f t="shared" si="0"/>
        <v>3145</v>
      </c>
      <c r="G9" s="207">
        <f t="shared" si="1"/>
        <v>524.16666666666663</v>
      </c>
      <c r="I9" s="207">
        <v>22105</v>
      </c>
      <c r="J9" s="207">
        <f t="shared" si="2"/>
        <v>3684.1666666666665</v>
      </c>
      <c r="K9" s="207">
        <v>727</v>
      </c>
      <c r="L9" s="207">
        <f t="shared" si="3"/>
        <v>22832</v>
      </c>
      <c r="M9" s="207">
        <f>Cliffe!G28</f>
        <v>3700</v>
      </c>
      <c r="N9" s="207">
        <f t="shared" si="5"/>
        <v>26532</v>
      </c>
      <c r="O9" s="207">
        <f t="shared" si="4"/>
        <v>4422</v>
      </c>
      <c r="S9" s="207">
        <f>Cliffe!G24</f>
        <v>340</v>
      </c>
      <c r="T9" s="256">
        <f t="shared" si="6"/>
        <v>56.666666666666664</v>
      </c>
      <c r="U9" s="259">
        <f t="shared" si="7"/>
        <v>312</v>
      </c>
      <c r="W9" s="207">
        <v>48</v>
      </c>
      <c r="X9" s="207">
        <f t="shared" ref="X9:X16" si="8">W9*$W$2</f>
        <v>42.920634920634924</v>
      </c>
      <c r="Z9" s="289"/>
    </row>
    <row r="10" spans="1:27" x14ac:dyDescent="0.2">
      <c r="A10" s="176" t="s">
        <v>56</v>
      </c>
      <c r="B10" s="182">
        <f>Edward!O1</f>
        <v>7</v>
      </c>
      <c r="C10" s="207">
        <v>500</v>
      </c>
      <c r="D10" s="367">
        <v>0.85</v>
      </c>
      <c r="E10" s="209"/>
      <c r="F10" s="366">
        <f t="shared" si="0"/>
        <v>425</v>
      </c>
      <c r="G10" s="207">
        <f t="shared" si="1"/>
        <v>60.714285714285715</v>
      </c>
      <c r="I10" s="207">
        <v>17167</v>
      </c>
      <c r="J10" s="207">
        <f t="shared" si="2"/>
        <v>2452.4285714285716</v>
      </c>
      <c r="K10" s="207">
        <v>583</v>
      </c>
      <c r="L10" s="207">
        <f t="shared" si="3"/>
        <v>17750</v>
      </c>
      <c r="M10" s="207">
        <f>Edward!G28</f>
        <v>300</v>
      </c>
      <c r="N10" s="207">
        <f t="shared" si="5"/>
        <v>18050</v>
      </c>
      <c r="O10" s="207">
        <f t="shared" si="4"/>
        <v>2578.5714285714284</v>
      </c>
      <c r="S10" s="207">
        <f>Edward!G24</f>
        <v>400</v>
      </c>
      <c r="T10" s="256">
        <f t="shared" si="6"/>
        <v>57.142857142857146</v>
      </c>
      <c r="U10" s="259">
        <f t="shared" si="7"/>
        <v>364</v>
      </c>
      <c r="W10" s="207">
        <v>60</v>
      </c>
      <c r="X10" s="207">
        <f t="shared" si="8"/>
        <v>53.650793650793652</v>
      </c>
      <c r="Z10" s="289"/>
    </row>
    <row r="11" spans="1:27" x14ac:dyDescent="0.2">
      <c r="A11" s="176" t="s">
        <v>57</v>
      </c>
      <c r="B11" s="182">
        <f>Kingswood!O1</f>
        <v>12</v>
      </c>
      <c r="C11" s="207">
        <v>4500</v>
      </c>
      <c r="D11" s="367">
        <v>0.85</v>
      </c>
      <c r="E11" s="209"/>
      <c r="F11" s="366">
        <f t="shared" si="0"/>
        <v>3825</v>
      </c>
      <c r="G11" s="207">
        <f t="shared" si="1"/>
        <v>318.75</v>
      </c>
      <c r="I11" s="207">
        <v>18316</v>
      </c>
      <c r="J11" s="207">
        <f t="shared" si="2"/>
        <v>1526.3333333333333</v>
      </c>
      <c r="K11" s="207">
        <v>-472</v>
      </c>
      <c r="L11" s="207">
        <f t="shared" si="3"/>
        <v>17844</v>
      </c>
      <c r="M11" s="207">
        <f>Kingswood!G33</f>
        <v>4500</v>
      </c>
      <c r="N11" s="207">
        <f t="shared" si="5"/>
        <v>22344</v>
      </c>
      <c r="O11" s="207">
        <f t="shared" si="4"/>
        <v>1862</v>
      </c>
      <c r="S11" s="207">
        <f>Kingswood!G29</f>
        <v>670</v>
      </c>
      <c r="T11" s="256">
        <f t="shared" si="6"/>
        <v>55.833333333333336</v>
      </c>
      <c r="U11" s="259">
        <f t="shared" si="7"/>
        <v>624</v>
      </c>
      <c r="W11" s="207">
        <v>360</v>
      </c>
      <c r="X11" s="207">
        <f t="shared" si="8"/>
        <v>321.90476190476193</v>
      </c>
      <c r="Z11" s="289"/>
    </row>
    <row r="12" spans="1:27" x14ac:dyDescent="0.2">
      <c r="A12" s="176" t="s">
        <v>58</v>
      </c>
      <c r="B12" s="182">
        <f>'Muxlow '!O1</f>
        <v>12</v>
      </c>
      <c r="C12" s="207">
        <v>3200</v>
      </c>
      <c r="D12" s="367">
        <v>0.85</v>
      </c>
      <c r="E12" s="209"/>
      <c r="F12" s="366">
        <f t="shared" si="0"/>
        <v>2720</v>
      </c>
      <c r="G12" s="207">
        <f t="shared" si="1"/>
        <v>226.66666666666666</v>
      </c>
      <c r="I12" s="207">
        <v>5459</v>
      </c>
      <c r="J12" s="207">
        <f t="shared" si="2"/>
        <v>454.91666666666669</v>
      </c>
      <c r="K12" s="207">
        <v>448</v>
      </c>
      <c r="L12" s="207">
        <f t="shared" si="3"/>
        <v>5907</v>
      </c>
      <c r="M12" s="207">
        <f>'Muxlow '!G29</f>
        <v>2560</v>
      </c>
      <c r="N12" s="207">
        <f t="shared" si="5"/>
        <v>8467</v>
      </c>
      <c r="O12" s="207">
        <f t="shared" si="4"/>
        <v>705.58333333333337</v>
      </c>
      <c r="S12" s="207">
        <f>'Muxlow '!G25</f>
        <v>670</v>
      </c>
      <c r="T12" s="256">
        <f t="shared" si="6"/>
        <v>55.833333333333336</v>
      </c>
      <c r="U12" s="259">
        <f t="shared" si="7"/>
        <v>624</v>
      </c>
      <c r="W12" s="207">
        <v>192</v>
      </c>
      <c r="X12" s="207">
        <f t="shared" si="8"/>
        <v>171.6825396825397</v>
      </c>
      <c r="Z12" s="289"/>
    </row>
    <row r="13" spans="1:27" x14ac:dyDescent="0.2">
      <c r="A13" s="176" t="s">
        <v>59</v>
      </c>
      <c r="B13" s="182">
        <f>Peveril!O1</f>
        <v>8</v>
      </c>
      <c r="C13" s="207">
        <v>1800</v>
      </c>
      <c r="D13" s="367">
        <v>0.85</v>
      </c>
      <c r="E13" s="209"/>
      <c r="F13" s="366">
        <f t="shared" si="0"/>
        <v>1530</v>
      </c>
      <c r="G13" s="207">
        <f t="shared" si="1"/>
        <v>191.25</v>
      </c>
      <c r="I13" s="207">
        <v>18188</v>
      </c>
      <c r="J13" s="207">
        <f t="shared" si="2"/>
        <v>2273.5</v>
      </c>
      <c r="K13" s="207">
        <v>-823</v>
      </c>
      <c r="L13" s="207">
        <f t="shared" si="3"/>
        <v>17365</v>
      </c>
      <c r="M13" s="207">
        <f>Peveril!G29</f>
        <v>1440</v>
      </c>
      <c r="N13" s="207">
        <f t="shared" si="5"/>
        <v>18805</v>
      </c>
      <c r="O13" s="207">
        <f t="shared" si="4"/>
        <v>2350.625</v>
      </c>
      <c r="S13" s="207">
        <f>Peveril!G25</f>
        <v>450</v>
      </c>
      <c r="T13" s="256">
        <f t="shared" si="6"/>
        <v>56.25</v>
      </c>
      <c r="U13" s="259">
        <f t="shared" si="7"/>
        <v>416</v>
      </c>
      <c r="W13" s="207">
        <v>132</v>
      </c>
      <c r="X13" s="207">
        <f t="shared" si="8"/>
        <v>118.03174603174604</v>
      </c>
      <c r="Z13" s="289"/>
    </row>
    <row r="14" spans="1:27" x14ac:dyDescent="0.2">
      <c r="A14" s="176" t="s">
        <v>60</v>
      </c>
      <c r="B14" s="182">
        <f>'Sheaf 1'!O1</f>
        <v>12</v>
      </c>
      <c r="C14" s="207">
        <v>3550</v>
      </c>
      <c r="D14" s="367">
        <v>0.85</v>
      </c>
      <c r="E14" s="209"/>
      <c r="F14" s="366">
        <f t="shared" si="0"/>
        <v>3017.5</v>
      </c>
      <c r="G14" s="207">
        <f t="shared" si="1"/>
        <v>251.45833333333334</v>
      </c>
      <c r="I14" s="207">
        <v>23308</v>
      </c>
      <c r="J14" s="207">
        <f t="shared" si="2"/>
        <v>1942.3333333333333</v>
      </c>
      <c r="K14" s="207">
        <v>-836</v>
      </c>
      <c r="L14" s="207">
        <f t="shared" si="3"/>
        <v>22472</v>
      </c>
      <c r="M14" s="207">
        <f>'Sheaf 1'!G31</f>
        <v>3195</v>
      </c>
      <c r="N14" s="207">
        <f t="shared" si="5"/>
        <v>25667</v>
      </c>
      <c r="O14" s="207">
        <f t="shared" si="4"/>
        <v>2138.9166666666665</v>
      </c>
      <c r="S14" s="207">
        <f>'Sheaf 1'!G27</f>
        <v>670</v>
      </c>
      <c r="T14" s="256">
        <f t="shared" si="6"/>
        <v>55.833333333333336</v>
      </c>
      <c r="U14" s="259">
        <f t="shared" si="7"/>
        <v>624</v>
      </c>
      <c r="W14" s="207">
        <v>72</v>
      </c>
      <c r="X14" s="207">
        <f t="shared" si="8"/>
        <v>64.38095238095238</v>
      </c>
      <c r="Z14" s="289"/>
    </row>
    <row r="15" spans="1:27" x14ac:dyDescent="0.2">
      <c r="A15" s="176" t="s">
        <v>61</v>
      </c>
      <c r="B15" s="182">
        <f>'Sheaf 2'!O1</f>
        <v>32</v>
      </c>
      <c r="C15" s="207">
        <v>9500</v>
      </c>
      <c r="D15" s="367">
        <v>0.85</v>
      </c>
      <c r="E15" s="209"/>
      <c r="F15" s="366">
        <f t="shared" si="0"/>
        <v>8075</v>
      </c>
      <c r="G15" s="207">
        <f t="shared" si="1"/>
        <v>252.34375</v>
      </c>
      <c r="I15" s="207">
        <v>60073</v>
      </c>
      <c r="J15" s="207">
        <f t="shared" si="2"/>
        <v>1877.28125</v>
      </c>
      <c r="K15" s="207">
        <v>1920</v>
      </c>
      <c r="L15" s="207">
        <f t="shared" si="3"/>
        <v>61993</v>
      </c>
      <c r="M15" s="207">
        <f>'Sheaf 2'!G38</f>
        <v>8550</v>
      </c>
      <c r="N15" s="207">
        <f t="shared" si="5"/>
        <v>70543</v>
      </c>
      <c r="O15" s="207">
        <f t="shared" si="4"/>
        <v>2204.46875</v>
      </c>
      <c r="S15" s="207">
        <f>'Sheaf 2'!G34</f>
        <v>1800</v>
      </c>
      <c r="T15" s="256">
        <f t="shared" si="6"/>
        <v>56.25</v>
      </c>
      <c r="U15" s="259">
        <f t="shared" si="7"/>
        <v>1664</v>
      </c>
      <c r="W15" s="207">
        <v>252</v>
      </c>
      <c r="X15" s="207">
        <f t="shared" si="8"/>
        <v>225.33333333333334</v>
      </c>
      <c r="Z15" s="289"/>
    </row>
    <row r="16" spans="1:27" x14ac:dyDescent="0.2">
      <c r="A16" s="176" t="s">
        <v>62</v>
      </c>
      <c r="B16" s="182">
        <f>'Sheaf 3 Apts'!O1</f>
        <v>4</v>
      </c>
      <c r="C16" s="207">
        <v>700</v>
      </c>
      <c r="D16" s="367">
        <v>0.85</v>
      </c>
      <c r="E16" s="209"/>
      <c r="F16" s="366">
        <f t="shared" si="0"/>
        <v>595</v>
      </c>
      <c r="G16" s="207">
        <f t="shared" si="1"/>
        <v>148.75</v>
      </c>
      <c r="I16" s="207">
        <v>6166</v>
      </c>
      <c r="J16" s="207">
        <f t="shared" si="2"/>
        <v>1541.5</v>
      </c>
      <c r="K16" s="207">
        <v>-1167</v>
      </c>
      <c r="L16" s="207">
        <f t="shared" si="3"/>
        <v>4999</v>
      </c>
      <c r="M16" s="207">
        <f>'Sheaf 3 Apts'!G27</f>
        <v>490</v>
      </c>
      <c r="N16" s="207">
        <f t="shared" si="5"/>
        <v>5489</v>
      </c>
      <c r="O16" s="207">
        <f t="shared" si="4"/>
        <v>1372.25</v>
      </c>
      <c r="S16" s="207"/>
      <c r="T16" s="256"/>
      <c r="U16" s="259"/>
      <c r="W16" s="207">
        <v>144</v>
      </c>
      <c r="X16" s="207">
        <f t="shared" si="8"/>
        <v>128.76190476190476</v>
      </c>
      <c r="Z16" s="289"/>
    </row>
    <row r="17" spans="1:27" x14ac:dyDescent="0.2">
      <c r="A17" s="176" t="s">
        <v>197</v>
      </c>
      <c r="B17" s="182">
        <f>'Sheaf 3 Building'!O1</f>
        <v>8</v>
      </c>
      <c r="C17" s="207">
        <v>2900</v>
      </c>
      <c r="D17" s="367">
        <v>0.85</v>
      </c>
      <c r="E17" s="209"/>
      <c r="F17" s="366">
        <f t="shared" si="0"/>
        <v>2465</v>
      </c>
      <c r="G17" s="207">
        <f t="shared" si="1"/>
        <v>308.125</v>
      </c>
      <c r="I17" s="207">
        <v>23336</v>
      </c>
      <c r="J17" s="207">
        <f t="shared" si="2"/>
        <v>2917</v>
      </c>
      <c r="K17" s="207">
        <v>548</v>
      </c>
      <c r="L17" s="207">
        <f t="shared" si="3"/>
        <v>23884</v>
      </c>
      <c r="M17" s="207">
        <f>'Sheaf 3 Building'!G13</f>
        <v>2900</v>
      </c>
      <c r="N17" s="207">
        <f t="shared" si="5"/>
        <v>26784</v>
      </c>
      <c r="O17" s="207">
        <f t="shared" si="4"/>
        <v>3348</v>
      </c>
      <c r="S17" s="207">
        <f>Victoria!G25</f>
        <v>440</v>
      </c>
      <c r="T17" s="256">
        <f>S17/B17</f>
        <v>55</v>
      </c>
      <c r="U17" s="259">
        <f>B17*52</f>
        <v>416</v>
      </c>
      <c r="W17" s="207"/>
      <c r="X17" s="207"/>
      <c r="Z17" s="289"/>
    </row>
    <row r="18" spans="1:27" x14ac:dyDescent="0.2">
      <c r="A18" s="176" t="s">
        <v>64</v>
      </c>
      <c r="B18" s="182">
        <f>Victoria!O1</f>
        <v>8</v>
      </c>
      <c r="C18" s="207">
        <v>400</v>
      </c>
      <c r="D18" s="367">
        <v>0.85</v>
      </c>
      <c r="E18" s="209"/>
      <c r="F18" s="366">
        <f t="shared" si="0"/>
        <v>340</v>
      </c>
      <c r="G18" s="207">
        <f t="shared" si="1"/>
        <v>42.5</v>
      </c>
      <c r="I18" s="207">
        <v>33748</v>
      </c>
      <c r="J18" s="207">
        <f t="shared" si="2"/>
        <v>4218.5</v>
      </c>
      <c r="K18" s="207">
        <v>-131</v>
      </c>
      <c r="L18" s="207">
        <f t="shared" si="3"/>
        <v>33617</v>
      </c>
      <c r="M18" s="207">
        <f>Victoria!G29</f>
        <v>40</v>
      </c>
      <c r="N18" s="207">
        <f t="shared" si="5"/>
        <v>33657</v>
      </c>
      <c r="O18" s="207">
        <f t="shared" si="4"/>
        <v>4207.125</v>
      </c>
      <c r="S18" s="207">
        <v>440</v>
      </c>
      <c r="T18" s="207">
        <f>S18/B18</f>
        <v>55</v>
      </c>
      <c r="U18" s="259">
        <f>B18*52</f>
        <v>416</v>
      </c>
      <c r="W18" s="207">
        <v>144</v>
      </c>
      <c r="X18" s="207">
        <f>W18*$W$2</f>
        <v>128.76190476190476</v>
      </c>
      <c r="Z18" s="289"/>
    </row>
    <row r="19" spans="1:27" x14ac:dyDescent="0.2">
      <c r="A19" s="12"/>
      <c r="B19" s="209"/>
      <c r="D19" s="262"/>
      <c r="E19" s="209"/>
      <c r="F19" s="81"/>
      <c r="H19" s="201"/>
      <c r="I19" s="81">
        <v>59066</v>
      </c>
      <c r="K19" s="81">
        <v>1975</v>
      </c>
      <c r="L19" s="81">
        <f t="shared" si="3"/>
        <v>61041</v>
      </c>
      <c r="U19" s="183"/>
      <c r="W19" s="207"/>
      <c r="X19" s="207"/>
    </row>
    <row r="20" spans="1:27" x14ac:dyDescent="0.2">
      <c r="A20" s="250" t="s">
        <v>255</v>
      </c>
      <c r="B20" s="182"/>
      <c r="C20" s="207">
        <f>SUM(C5:C19)</f>
        <v>55350</v>
      </c>
      <c r="D20" s="182"/>
      <c r="E20" s="209"/>
      <c r="F20" s="207">
        <f>SUM(F5:F19)</f>
        <v>47047.5</v>
      </c>
      <c r="G20" s="207">
        <f>SUM(G5:G19)</f>
        <v>2875.962076118326</v>
      </c>
      <c r="H20" s="208"/>
      <c r="I20" s="207">
        <f t="shared" ref="I20:O20" si="9">SUM(I5:I19)</f>
        <v>335145</v>
      </c>
      <c r="J20" s="207">
        <f t="shared" si="9"/>
        <v>26942.603760822509</v>
      </c>
      <c r="K20" s="207">
        <f t="shared" si="9"/>
        <v>-16864</v>
      </c>
      <c r="L20" s="207">
        <f t="shared" si="9"/>
        <v>318281</v>
      </c>
      <c r="M20" s="207">
        <f t="shared" si="9"/>
        <v>52030</v>
      </c>
      <c r="N20" s="207">
        <f t="shared" si="9"/>
        <v>309270</v>
      </c>
      <c r="O20" s="207">
        <f t="shared" si="9"/>
        <v>29400.170303348612</v>
      </c>
      <c r="S20" s="207">
        <f>SUM(S5:S19)</f>
        <v>6380</v>
      </c>
      <c r="T20" s="207">
        <f>SUM(T5:T19)</f>
        <v>559.36507936507928</v>
      </c>
      <c r="U20" s="239">
        <f>SUM(U5:U19)</f>
        <v>5928</v>
      </c>
      <c r="W20" s="207">
        <f>SUM(W5:W19)</f>
        <v>2268</v>
      </c>
      <c r="X20" s="207">
        <f>SUM(X5:X19)</f>
        <v>2028</v>
      </c>
    </row>
    <row r="21" spans="1:27" x14ac:dyDescent="0.2">
      <c r="F21" s="81"/>
      <c r="H21" s="201"/>
      <c r="U21" s="81">
        <f>S20-U20</f>
        <v>452</v>
      </c>
    </row>
    <row r="22" spans="1:27" x14ac:dyDescent="0.2">
      <c r="A22" s="81" t="s">
        <v>341</v>
      </c>
      <c r="F22" s="81"/>
      <c r="I22" s="374" t="s">
        <v>340</v>
      </c>
      <c r="J22" s="375"/>
      <c r="K22" s="376"/>
      <c r="L22" s="297"/>
      <c r="M22" s="260"/>
      <c r="N22" s="297"/>
      <c r="O22" s="260"/>
      <c r="S22" s="396" t="s">
        <v>280</v>
      </c>
      <c r="T22" s="397"/>
      <c r="U22" s="397"/>
      <c r="W22" s="387" t="s">
        <v>339</v>
      </c>
      <c r="X22" s="376"/>
    </row>
    <row r="23" spans="1:27" x14ac:dyDescent="0.2">
      <c r="A23" s="81" t="s">
        <v>342</v>
      </c>
      <c r="F23" s="81"/>
      <c r="I23" s="377"/>
      <c r="J23" s="378"/>
      <c r="K23" s="379"/>
      <c r="L23" s="297"/>
      <c r="M23" s="357"/>
      <c r="N23" s="357"/>
      <c r="O23" s="260"/>
      <c r="S23" s="397"/>
      <c r="T23" s="397"/>
      <c r="U23" s="397"/>
      <c r="W23" s="377"/>
      <c r="X23" s="379"/>
    </row>
    <row r="24" spans="1:27" x14ac:dyDescent="0.2">
      <c r="A24" s="81"/>
      <c r="F24" s="81"/>
      <c r="I24" s="380"/>
      <c r="J24" s="381"/>
      <c r="K24" s="382"/>
      <c r="L24" s="297"/>
      <c r="M24" s="260"/>
      <c r="N24" s="297"/>
      <c r="O24" s="260"/>
      <c r="S24" s="397"/>
      <c r="T24" s="397"/>
      <c r="U24" s="397"/>
      <c r="W24" s="380"/>
      <c r="X24" s="382"/>
    </row>
    <row r="25" spans="1:27" x14ac:dyDescent="0.2">
      <c r="A25" s="295"/>
      <c r="S25" s="398"/>
      <c r="T25" s="398"/>
      <c r="U25" s="398"/>
    </row>
    <row r="27" spans="1:27" ht="26.25" x14ac:dyDescent="0.2">
      <c r="A27" s="210" t="s">
        <v>230</v>
      </c>
      <c r="B27" s="211"/>
      <c r="C27" s="212"/>
      <c r="D27" s="214">
        <v>2020</v>
      </c>
      <c r="E27" s="213"/>
      <c r="F27" s="212"/>
      <c r="G27" s="212"/>
      <c r="H27" s="212"/>
      <c r="I27" s="212"/>
      <c r="J27" s="212"/>
      <c r="K27" s="212"/>
      <c r="L27" s="212"/>
      <c r="M27" s="212"/>
      <c r="N27" s="212"/>
      <c r="O27" s="212"/>
    </row>
    <row r="28" spans="1:27" s="218" customFormat="1" x14ac:dyDescent="0.2">
      <c r="B28" s="215"/>
      <c r="C28" s="216"/>
      <c r="D28" s="219"/>
      <c r="E28" s="217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52"/>
      <c r="R28" s="216"/>
      <c r="S28" s="216"/>
      <c r="T28" s="216"/>
      <c r="U28" s="216"/>
      <c r="V28" s="216"/>
      <c r="W28" s="216"/>
      <c r="X28" s="216"/>
      <c r="Y28" s="216"/>
      <c r="Z28" s="216"/>
      <c r="AA28" s="216"/>
    </row>
    <row r="29" spans="1:27" s="218" customFormat="1" ht="30" customHeight="1" x14ac:dyDescent="0.2">
      <c r="A29" s="372" t="s">
        <v>235</v>
      </c>
      <c r="B29" s="373"/>
      <c r="C29" s="373"/>
      <c r="D29" s="373"/>
      <c r="E29" s="217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52"/>
      <c r="R29" s="216"/>
      <c r="S29" s="216"/>
      <c r="T29" s="216"/>
      <c r="U29" s="216"/>
      <c r="V29" s="216"/>
      <c r="W29" s="216"/>
      <c r="X29" s="216"/>
      <c r="Y29" s="216"/>
      <c r="Z29" s="216"/>
      <c r="AA29" s="216"/>
    </row>
    <row r="30" spans="1:27" s="218" customFormat="1" x14ac:dyDescent="0.2">
      <c r="A30" s="220"/>
      <c r="B30" s="199"/>
      <c r="C30" s="199"/>
      <c r="D30" s="199"/>
      <c r="E30" s="217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52"/>
      <c r="R30" s="216"/>
      <c r="S30" s="216"/>
      <c r="T30" s="216"/>
      <c r="U30" s="216"/>
      <c r="V30" s="216"/>
      <c r="W30" s="216"/>
      <c r="X30" s="216"/>
      <c r="Y30" s="216"/>
      <c r="Z30" s="216"/>
      <c r="AA30" s="216"/>
    </row>
    <row r="31" spans="1:27" s="14" customFormat="1" ht="30" customHeight="1" x14ac:dyDescent="0.2">
      <c r="A31" s="222" t="s">
        <v>232</v>
      </c>
      <c r="B31" s="247"/>
      <c r="C31" s="248"/>
      <c r="D31" s="202" t="s">
        <v>233</v>
      </c>
      <c r="E31" s="197"/>
      <c r="F31" s="202" t="s">
        <v>238</v>
      </c>
      <c r="G31" s="383" t="s">
        <v>275</v>
      </c>
      <c r="H31" s="384"/>
      <c r="I31" s="384"/>
      <c r="J31" s="384"/>
      <c r="K31" s="384"/>
      <c r="L31" s="298"/>
      <c r="M31" s="261"/>
      <c r="N31" s="298"/>
      <c r="O31" s="261"/>
      <c r="P31" s="90"/>
      <c r="Q31" s="254"/>
      <c r="R31" s="90"/>
      <c r="W31" s="90"/>
      <c r="X31" s="90"/>
      <c r="Y31" s="90"/>
      <c r="Z31" s="90"/>
      <c r="AA31" s="90"/>
    </row>
    <row r="32" spans="1:27" s="12" customFormat="1" x14ac:dyDescent="0.2">
      <c r="A32" s="245"/>
      <c r="B32" s="246"/>
      <c r="D32" s="201"/>
      <c r="F32" s="224"/>
      <c r="G32" s="196"/>
      <c r="H32" s="196"/>
      <c r="I32" s="201"/>
      <c r="J32" s="201"/>
      <c r="K32" s="201"/>
      <c r="L32" s="201"/>
      <c r="M32" s="201"/>
      <c r="N32" s="201"/>
      <c r="O32" s="201"/>
      <c r="P32" s="201"/>
      <c r="Q32" s="255"/>
      <c r="R32" s="201"/>
      <c r="W32" s="201"/>
      <c r="X32" s="201"/>
      <c r="Y32" s="201"/>
      <c r="Z32" s="201"/>
      <c r="AA32" s="201"/>
    </row>
    <row r="33" spans="1:19" x14ac:dyDescent="0.2">
      <c r="A33" s="222" t="s">
        <v>231</v>
      </c>
      <c r="B33" s="225"/>
      <c r="C33" s="244"/>
      <c r="D33" s="198"/>
      <c r="F33" s="14"/>
      <c r="G33" s="201"/>
    </row>
    <row r="34" spans="1:19" x14ac:dyDescent="0.2">
      <c r="A34" s="251" t="s">
        <v>273</v>
      </c>
      <c r="B34" s="225"/>
      <c r="C34" s="244"/>
      <c r="D34" s="295"/>
      <c r="F34" s="223">
        <f>N5</f>
        <v>24188</v>
      </c>
      <c r="G34" s="201"/>
    </row>
    <row r="35" spans="1:19" x14ac:dyDescent="0.2">
      <c r="A35" s="360" t="s">
        <v>274</v>
      </c>
      <c r="B35" s="361"/>
      <c r="C35" s="362"/>
      <c r="D35" s="359">
        <v>8330</v>
      </c>
      <c r="F35" s="223">
        <f>F34-D35</f>
        <v>15858</v>
      </c>
      <c r="G35" s="201"/>
    </row>
    <row r="36" spans="1:19" x14ac:dyDescent="0.2">
      <c r="A36" s="222" t="s">
        <v>281</v>
      </c>
      <c r="B36" s="247"/>
      <c r="C36" s="249"/>
      <c r="D36" s="249">
        <f>'Communal Management Costs'!D91</f>
        <v>0</v>
      </c>
      <c r="E36" s="232"/>
      <c r="F36" s="223">
        <f>F35-D36</f>
        <v>15858</v>
      </c>
      <c r="G36" s="201"/>
    </row>
    <row r="37" spans="1:19" x14ac:dyDescent="0.2">
      <c r="A37" s="245"/>
      <c r="B37" s="246"/>
      <c r="D37" s="201"/>
      <c r="F37" s="224"/>
      <c r="G37" s="196"/>
      <c r="H37" s="196"/>
    </row>
    <row r="38" spans="1:19" x14ac:dyDescent="0.2">
      <c r="A38" s="222" t="s">
        <v>65</v>
      </c>
      <c r="B38" s="225"/>
      <c r="C38" s="244"/>
      <c r="D38" s="198"/>
      <c r="F38" s="14"/>
      <c r="G38" s="201"/>
      <c r="S38" s="198"/>
    </row>
    <row r="39" spans="1:19" x14ac:dyDescent="0.2">
      <c r="A39" s="251" t="s">
        <v>273</v>
      </c>
      <c r="B39" s="225"/>
      <c r="C39" s="244"/>
      <c r="D39" s="244"/>
      <c r="F39" s="223">
        <f>N6</f>
        <v>4759</v>
      </c>
      <c r="G39" s="201"/>
      <c r="S39" s="198"/>
    </row>
    <row r="40" spans="1:19" x14ac:dyDescent="0.2">
      <c r="A40" s="360" t="s">
        <v>274</v>
      </c>
      <c r="B40" s="361"/>
      <c r="C40" s="362"/>
      <c r="D40" s="359">
        <v>22010</v>
      </c>
      <c r="F40" s="223">
        <f>F39-D40</f>
        <v>-17251</v>
      </c>
      <c r="G40" s="201"/>
    </row>
    <row r="41" spans="1:19" x14ac:dyDescent="0.2">
      <c r="A41" s="222" t="s">
        <v>281</v>
      </c>
      <c r="B41" s="299"/>
      <c r="C41" s="249"/>
      <c r="D41" s="249">
        <f>'Leisure Suite'!D84</f>
        <v>10187</v>
      </c>
      <c r="E41" s="232"/>
      <c r="F41" s="223">
        <f>F40-D41</f>
        <v>-27438</v>
      </c>
      <c r="G41" s="201"/>
    </row>
    <row r="42" spans="1:19" x14ac:dyDescent="0.2">
      <c r="B42" s="198"/>
      <c r="C42" s="198"/>
      <c r="D42" s="198"/>
      <c r="E42" s="198"/>
      <c r="F42" s="14"/>
      <c r="G42" s="198"/>
    </row>
    <row r="43" spans="1:19" x14ac:dyDescent="0.2">
      <c r="A43" s="222" t="s">
        <v>254</v>
      </c>
      <c r="B43" s="225"/>
      <c r="C43" s="244"/>
      <c r="G43" s="201"/>
    </row>
    <row r="44" spans="1:19" x14ac:dyDescent="0.2">
      <c r="A44" s="251" t="s">
        <v>273</v>
      </c>
      <c r="B44" s="225"/>
      <c r="C44" s="244"/>
      <c r="D44" s="244"/>
      <c r="F44" s="223">
        <f>N7</f>
        <v>10014</v>
      </c>
      <c r="G44" s="201"/>
    </row>
    <row r="45" spans="1:19" x14ac:dyDescent="0.2">
      <c r="A45" s="360" t="s">
        <v>274</v>
      </c>
      <c r="B45" s="361"/>
      <c r="C45" s="362"/>
      <c r="D45" s="359">
        <v>2350</v>
      </c>
      <c r="F45" s="223">
        <f>F44-D45</f>
        <v>7664</v>
      </c>
      <c r="G45" s="201"/>
    </row>
    <row r="46" spans="1:19" x14ac:dyDescent="0.2">
      <c r="A46" s="222" t="s">
        <v>281</v>
      </c>
      <c r="B46" s="299"/>
      <c r="C46" s="249"/>
      <c r="D46" s="249">
        <f>Alexandra!D51</f>
        <v>0</v>
      </c>
      <c r="E46" s="232"/>
      <c r="F46" s="223">
        <f>F45-D46</f>
        <v>7664</v>
      </c>
      <c r="G46" s="201"/>
    </row>
    <row r="47" spans="1:19" x14ac:dyDescent="0.2">
      <c r="A47" s="23"/>
      <c r="B47" s="196"/>
      <c r="C47" s="232"/>
      <c r="D47" s="232"/>
      <c r="F47" s="232"/>
      <c r="G47" s="201"/>
    </row>
    <row r="48" spans="1:19" x14ac:dyDescent="0.2">
      <c r="A48" s="222" t="s">
        <v>195</v>
      </c>
      <c r="B48" s="225"/>
      <c r="C48" s="244"/>
      <c r="G48" s="201"/>
    </row>
    <row r="49" spans="1:7" x14ac:dyDescent="0.2">
      <c r="A49" s="251" t="s">
        <v>273</v>
      </c>
      <c r="B49" s="225"/>
      <c r="C49" s="244"/>
      <c r="D49" s="244"/>
      <c r="F49" s="223">
        <f>N8</f>
        <v>13971</v>
      </c>
      <c r="G49" s="201"/>
    </row>
    <row r="50" spans="1:7" x14ac:dyDescent="0.2">
      <c r="A50" s="360" t="s">
        <v>274</v>
      </c>
      <c r="B50" s="361"/>
      <c r="C50" s="362"/>
      <c r="D50" s="359">
        <v>0</v>
      </c>
      <c r="F50" s="223">
        <f>F49-D50</f>
        <v>13971</v>
      </c>
      <c r="G50" s="201"/>
    </row>
    <row r="51" spans="1:7" x14ac:dyDescent="0.2">
      <c r="A51" s="222" t="s">
        <v>281</v>
      </c>
      <c r="B51" s="299"/>
      <c r="C51" s="249"/>
      <c r="D51" s="249">
        <f>'Alexandra Building'!D29</f>
        <v>0</v>
      </c>
      <c r="E51" s="232"/>
      <c r="F51" s="223">
        <f>F50-D51</f>
        <v>13971</v>
      </c>
      <c r="G51" s="201"/>
    </row>
    <row r="52" spans="1:7" x14ac:dyDescent="0.2">
      <c r="G52" s="201"/>
    </row>
    <row r="53" spans="1:7" x14ac:dyDescent="0.2">
      <c r="A53" s="222" t="s">
        <v>55</v>
      </c>
      <c r="B53" s="225"/>
      <c r="C53" s="244"/>
      <c r="G53" s="201"/>
    </row>
    <row r="54" spans="1:7" x14ac:dyDescent="0.2">
      <c r="A54" s="251" t="s">
        <v>273</v>
      </c>
      <c r="B54" s="225"/>
      <c r="C54" s="244"/>
      <c r="D54" s="244"/>
      <c r="F54" s="223">
        <f>N9</f>
        <v>26532</v>
      </c>
      <c r="G54" s="201"/>
    </row>
    <row r="55" spans="1:7" x14ac:dyDescent="0.2">
      <c r="A55" s="360" t="s">
        <v>274</v>
      </c>
      <c r="B55" s="361"/>
      <c r="C55" s="362"/>
      <c r="D55" s="359">
        <v>2255</v>
      </c>
      <c r="F55" s="223">
        <f>F54-D55</f>
        <v>24277</v>
      </c>
      <c r="G55" s="201"/>
    </row>
    <row r="56" spans="1:7" x14ac:dyDescent="0.2">
      <c r="A56" s="222" t="s">
        <v>281</v>
      </c>
      <c r="B56" s="299"/>
      <c r="C56" s="249"/>
      <c r="D56" s="249">
        <f>Cliffe!D45</f>
        <v>0</v>
      </c>
      <c r="E56" s="232"/>
      <c r="F56" s="223">
        <f>F55-D56</f>
        <v>24277</v>
      </c>
      <c r="G56" s="201"/>
    </row>
    <row r="57" spans="1:7" x14ac:dyDescent="0.2">
      <c r="G57" s="201"/>
    </row>
    <row r="58" spans="1:7" x14ac:dyDescent="0.2">
      <c r="A58" s="222" t="s">
        <v>56</v>
      </c>
      <c r="B58" s="225"/>
      <c r="C58" s="244"/>
      <c r="G58" s="201"/>
    </row>
    <row r="59" spans="1:7" x14ac:dyDescent="0.2">
      <c r="A59" s="251" t="s">
        <v>273</v>
      </c>
      <c r="B59" s="225"/>
      <c r="C59" s="244"/>
      <c r="D59" s="244"/>
      <c r="F59" s="223">
        <f>N10</f>
        <v>18050</v>
      </c>
      <c r="G59" s="201"/>
    </row>
    <row r="60" spans="1:7" x14ac:dyDescent="0.2">
      <c r="A60" s="360" t="s">
        <v>274</v>
      </c>
      <c r="B60" s="361"/>
      <c r="C60" s="362"/>
      <c r="D60" s="359">
        <v>1525</v>
      </c>
      <c r="F60" s="223">
        <f>F59-D60</f>
        <v>16525</v>
      </c>
      <c r="G60" s="201"/>
    </row>
    <row r="61" spans="1:7" x14ac:dyDescent="0.2">
      <c r="A61" s="222" t="s">
        <v>281</v>
      </c>
      <c r="B61" s="299"/>
      <c r="C61" s="249"/>
      <c r="D61" s="249">
        <f>Edward!D45</f>
        <v>0</v>
      </c>
      <c r="E61" s="232"/>
      <c r="F61" s="223">
        <f>F60-D61</f>
        <v>16525</v>
      </c>
      <c r="G61" s="201"/>
    </row>
    <row r="63" spans="1:7" x14ac:dyDescent="0.2">
      <c r="A63" s="222" t="s">
        <v>57</v>
      </c>
      <c r="B63" s="225"/>
      <c r="C63" s="244"/>
    </row>
    <row r="64" spans="1:7" x14ac:dyDescent="0.2">
      <c r="A64" s="251" t="s">
        <v>273</v>
      </c>
      <c r="B64" s="225"/>
      <c r="C64" s="244"/>
      <c r="D64" s="244"/>
      <c r="F64" s="223">
        <f>N11</f>
        <v>22344</v>
      </c>
      <c r="G64" s="201"/>
    </row>
    <row r="65" spans="1:7" x14ac:dyDescent="0.2">
      <c r="A65" s="360" t="s">
        <v>274</v>
      </c>
      <c r="B65" s="361"/>
      <c r="C65" s="362"/>
      <c r="D65" s="359">
        <v>15786</v>
      </c>
      <c r="F65" s="223">
        <f>F64-D65</f>
        <v>6558</v>
      </c>
      <c r="G65" s="201"/>
    </row>
    <row r="66" spans="1:7" x14ac:dyDescent="0.2">
      <c r="A66" s="222" t="s">
        <v>281</v>
      </c>
      <c r="B66" s="299"/>
      <c r="C66" s="249"/>
      <c r="D66" s="249">
        <f>Kingswood!D59</f>
        <v>0</v>
      </c>
      <c r="E66" s="232"/>
      <c r="F66" s="223">
        <f>F65-D66</f>
        <v>6558</v>
      </c>
      <c r="G66" s="201"/>
    </row>
    <row r="68" spans="1:7" x14ac:dyDescent="0.2">
      <c r="A68" s="222" t="s">
        <v>58</v>
      </c>
      <c r="B68" s="225"/>
      <c r="C68" s="244"/>
    </row>
    <row r="69" spans="1:7" x14ac:dyDescent="0.2">
      <c r="A69" s="251" t="s">
        <v>273</v>
      </c>
      <c r="B69" s="225"/>
      <c r="C69" s="244"/>
      <c r="D69" s="244"/>
      <c r="F69" s="223">
        <f>N12</f>
        <v>8467</v>
      </c>
      <c r="G69" s="201"/>
    </row>
    <row r="70" spans="1:7" x14ac:dyDescent="0.2">
      <c r="A70" s="360" t="s">
        <v>274</v>
      </c>
      <c r="B70" s="361"/>
      <c r="C70" s="362"/>
      <c r="D70" s="359">
        <v>1219</v>
      </c>
      <c r="F70" s="223">
        <f>F69-D70</f>
        <v>7248</v>
      </c>
      <c r="G70" s="201"/>
    </row>
    <row r="71" spans="1:7" x14ac:dyDescent="0.2">
      <c r="A71" s="222" t="s">
        <v>281</v>
      </c>
      <c r="B71" s="299"/>
      <c r="C71" s="249"/>
      <c r="D71" s="249">
        <f>'Muxlow '!D51</f>
        <v>0</v>
      </c>
      <c r="E71" s="232"/>
      <c r="F71" s="223">
        <f>F70-D71</f>
        <v>7248</v>
      </c>
      <c r="G71" s="201"/>
    </row>
    <row r="73" spans="1:7" x14ac:dyDescent="0.2">
      <c r="A73" s="222" t="s">
        <v>59</v>
      </c>
      <c r="B73" s="225"/>
      <c r="C73" s="244"/>
    </row>
    <row r="74" spans="1:7" x14ac:dyDescent="0.2">
      <c r="A74" s="251" t="s">
        <v>273</v>
      </c>
      <c r="B74" s="225"/>
      <c r="C74" s="244"/>
      <c r="D74" s="244"/>
      <c r="F74" s="223">
        <f>N13</f>
        <v>18805</v>
      </c>
      <c r="G74" s="201"/>
    </row>
    <row r="75" spans="1:7" x14ac:dyDescent="0.2">
      <c r="A75" s="360" t="s">
        <v>274</v>
      </c>
      <c r="B75" s="361"/>
      <c r="C75" s="362"/>
      <c r="D75" s="359">
        <v>2110</v>
      </c>
      <c r="F75" s="223">
        <f>F74-D75</f>
        <v>16695</v>
      </c>
      <c r="G75" s="201"/>
    </row>
    <row r="76" spans="1:7" x14ac:dyDescent="0.2">
      <c r="A76" s="222" t="s">
        <v>281</v>
      </c>
      <c r="B76" s="299"/>
      <c r="C76" s="249"/>
      <c r="D76" s="249">
        <f>Peveril!D53</f>
        <v>0</v>
      </c>
      <c r="E76" s="232"/>
      <c r="F76" s="223">
        <f>F75-D76</f>
        <v>16695</v>
      </c>
      <c r="G76" s="201"/>
    </row>
    <row r="78" spans="1:7" x14ac:dyDescent="0.2">
      <c r="A78" s="222" t="s">
        <v>60</v>
      </c>
      <c r="B78" s="225"/>
      <c r="C78" s="244"/>
    </row>
    <row r="79" spans="1:7" x14ac:dyDescent="0.2">
      <c r="A79" s="251" t="s">
        <v>273</v>
      </c>
      <c r="B79" s="225"/>
      <c r="C79" s="244"/>
      <c r="D79" s="244"/>
      <c r="F79" s="223">
        <f>N14</f>
        <v>25667</v>
      </c>
      <c r="G79" s="201"/>
    </row>
    <row r="80" spans="1:7" x14ac:dyDescent="0.2">
      <c r="A80" s="360" t="s">
        <v>274</v>
      </c>
      <c r="B80" s="361"/>
      <c r="C80" s="362"/>
      <c r="D80" s="359">
        <v>500</v>
      </c>
      <c r="F80" s="223">
        <f>F79-D80</f>
        <v>25167</v>
      </c>
      <c r="G80" s="201"/>
    </row>
    <row r="81" spans="1:7" x14ac:dyDescent="0.2">
      <c r="A81" s="222" t="s">
        <v>281</v>
      </c>
      <c r="B81" s="299"/>
      <c r="C81" s="249"/>
      <c r="D81" s="249">
        <f>'Sheaf 1'!D49</f>
        <v>0</v>
      </c>
      <c r="E81" s="232"/>
      <c r="F81" s="223">
        <f>F80-D81</f>
        <v>25167</v>
      </c>
      <c r="G81" s="201"/>
    </row>
    <row r="83" spans="1:7" x14ac:dyDescent="0.2">
      <c r="A83" s="222" t="s">
        <v>61</v>
      </c>
      <c r="B83" s="225"/>
      <c r="C83" s="244"/>
    </row>
    <row r="84" spans="1:7" x14ac:dyDescent="0.2">
      <c r="A84" s="251" t="s">
        <v>273</v>
      </c>
      <c r="B84" s="225"/>
      <c r="C84" s="244"/>
      <c r="D84" s="244"/>
      <c r="F84" s="223">
        <f>N15</f>
        <v>70543</v>
      </c>
      <c r="G84" s="201"/>
    </row>
    <row r="85" spans="1:7" x14ac:dyDescent="0.2">
      <c r="A85" s="360" t="s">
        <v>274</v>
      </c>
      <c r="B85" s="361"/>
      <c r="C85" s="362"/>
      <c r="D85" s="359">
        <v>1795</v>
      </c>
      <c r="F85" s="223">
        <f>F84-D85</f>
        <v>68748</v>
      </c>
      <c r="G85" s="201"/>
    </row>
    <row r="86" spans="1:7" x14ac:dyDescent="0.2">
      <c r="A86" s="222" t="s">
        <v>281</v>
      </c>
      <c r="B86" s="299"/>
      <c r="C86" s="249"/>
      <c r="D86" s="249">
        <f>'Sheaf 2'!D63</f>
        <v>0</v>
      </c>
      <c r="E86" s="232"/>
      <c r="F86" s="223">
        <f>F85-D86</f>
        <v>68748</v>
      </c>
      <c r="G86" s="201"/>
    </row>
    <row r="88" spans="1:7" x14ac:dyDescent="0.2">
      <c r="A88" s="222" t="s">
        <v>62</v>
      </c>
      <c r="B88" s="225"/>
      <c r="C88" s="244"/>
    </row>
    <row r="89" spans="1:7" x14ac:dyDescent="0.2">
      <c r="A89" s="251" t="s">
        <v>273</v>
      </c>
      <c r="B89" s="225"/>
      <c r="C89" s="244"/>
      <c r="D89" s="244"/>
      <c r="F89" s="223">
        <f>N16</f>
        <v>5489</v>
      </c>
      <c r="G89" s="201"/>
    </row>
    <row r="90" spans="1:7" x14ac:dyDescent="0.2">
      <c r="A90" s="360" t="s">
        <v>274</v>
      </c>
      <c r="B90" s="361"/>
      <c r="C90" s="362"/>
      <c r="D90" s="359">
        <v>700</v>
      </c>
      <c r="F90" s="223">
        <f>F89-D90</f>
        <v>4789</v>
      </c>
      <c r="G90" s="201"/>
    </row>
    <row r="91" spans="1:7" x14ac:dyDescent="0.2">
      <c r="A91" s="222" t="s">
        <v>281</v>
      </c>
      <c r="B91" s="299"/>
      <c r="C91" s="249"/>
      <c r="D91" s="249">
        <f>'Sheaf 3 Apts'!D45</f>
        <v>0</v>
      </c>
      <c r="E91" s="232"/>
      <c r="F91" s="223">
        <f>F90-D91</f>
        <v>4789</v>
      </c>
      <c r="G91" s="201"/>
    </row>
    <row r="92" spans="1:7" x14ac:dyDescent="0.2">
      <c r="A92" s="23"/>
      <c r="B92" s="196"/>
      <c r="C92" s="232"/>
      <c r="D92" s="232"/>
      <c r="F92" s="232"/>
    </row>
    <row r="93" spans="1:7" x14ac:dyDescent="0.2">
      <c r="A93" s="222" t="s">
        <v>197</v>
      </c>
      <c r="B93" s="225"/>
      <c r="C93" s="244"/>
    </row>
    <row r="94" spans="1:7" x14ac:dyDescent="0.2">
      <c r="A94" s="251" t="s">
        <v>273</v>
      </c>
      <c r="B94" s="225"/>
      <c r="C94" s="244"/>
      <c r="D94" s="244"/>
      <c r="F94" s="223">
        <f>N17</f>
        <v>26784</v>
      </c>
      <c r="G94" s="201"/>
    </row>
    <row r="95" spans="1:7" x14ac:dyDescent="0.2">
      <c r="A95" s="360" t="s">
        <v>274</v>
      </c>
      <c r="B95" s="361"/>
      <c r="C95" s="362"/>
      <c r="D95" s="359">
        <v>385</v>
      </c>
      <c r="F95" s="223">
        <f>F94-D95</f>
        <v>26399</v>
      </c>
      <c r="G95" s="201"/>
    </row>
    <row r="96" spans="1:7" x14ac:dyDescent="0.2">
      <c r="A96" s="222" t="s">
        <v>281</v>
      </c>
      <c r="B96" s="299"/>
      <c r="C96" s="249"/>
      <c r="D96" s="249">
        <f>'Sheaf 3 Building'!D31</f>
        <v>0</v>
      </c>
      <c r="E96" s="232"/>
      <c r="F96" s="223">
        <f>F95-D96</f>
        <v>26399</v>
      </c>
      <c r="G96" s="201"/>
    </row>
    <row r="98" spans="1:7" x14ac:dyDescent="0.2">
      <c r="A98" s="222" t="s">
        <v>64</v>
      </c>
      <c r="B98" s="225"/>
      <c r="C98" s="244"/>
    </row>
    <row r="99" spans="1:7" x14ac:dyDescent="0.2">
      <c r="A99" s="251" t="s">
        <v>273</v>
      </c>
      <c r="B99" s="225"/>
      <c r="C99" s="244"/>
      <c r="D99" s="244"/>
      <c r="F99" s="223">
        <f>N18</f>
        <v>33657</v>
      </c>
      <c r="G99" s="201"/>
    </row>
    <row r="100" spans="1:7" x14ac:dyDescent="0.2">
      <c r="A100" s="360" t="s">
        <v>274</v>
      </c>
      <c r="B100" s="361"/>
      <c r="C100" s="362"/>
      <c r="D100" s="359">
        <v>3890</v>
      </c>
      <c r="F100" s="223">
        <f>F99-D100</f>
        <v>29767</v>
      </c>
      <c r="G100" s="201"/>
    </row>
    <row r="101" spans="1:7" x14ac:dyDescent="0.2">
      <c r="A101" s="222" t="s">
        <v>281</v>
      </c>
      <c r="B101" s="299"/>
      <c r="C101" s="249"/>
      <c r="D101" s="249">
        <f>Victoria!D53</f>
        <v>0</v>
      </c>
      <c r="E101" s="232"/>
      <c r="F101" s="223">
        <f>F100-D101</f>
        <v>29767</v>
      </c>
      <c r="G101" s="201"/>
    </row>
    <row r="103" spans="1:7" x14ac:dyDescent="0.2">
      <c r="F103" s="156">
        <f>F34+F39+F44+F49+F54+F59+F64+F69+F74+F79+F84+F89+F94+F99</f>
        <v>309270</v>
      </c>
      <c r="G103" s="156" t="s">
        <v>201</v>
      </c>
    </row>
    <row r="104" spans="1:7" x14ac:dyDescent="0.2">
      <c r="F104" s="156">
        <f>N20</f>
        <v>309270</v>
      </c>
      <c r="G104" s="156" t="s">
        <v>276</v>
      </c>
    </row>
  </sheetData>
  <mergeCells count="10">
    <mergeCell ref="A29:D29"/>
    <mergeCell ref="I22:K24"/>
    <mergeCell ref="G31:K31"/>
    <mergeCell ref="W3:X3"/>
    <mergeCell ref="W22:X24"/>
    <mergeCell ref="S3:U3"/>
    <mergeCell ref="A3:G3"/>
    <mergeCell ref="I3:J3"/>
    <mergeCell ref="K3:O3"/>
    <mergeCell ref="S22:U25"/>
  </mergeCells>
  <conditionalFormatting sqref="I5:I18">
    <cfRule type="cellIs" dxfId="0" priority="1" operator="greaterThan">
      <formula>10000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X63"/>
  <sheetViews>
    <sheetView showGridLines="0" zoomScale="80" zoomScaleNormal="80" workbookViewId="0">
      <pane ySplit="5" topLeftCell="A59" activePane="bottomLeft" state="frozen"/>
      <selection pane="bottomLeft" activeCell="A61" sqref="A61:F63"/>
    </sheetView>
  </sheetViews>
  <sheetFormatPr defaultColWidth="9.140625" defaultRowHeight="15" x14ac:dyDescent="0.25"/>
  <cols>
    <col min="1" max="1" width="40.7109375" style="32" customWidth="1"/>
    <col min="2" max="2" width="2.7109375" style="32" customWidth="1"/>
    <col min="3" max="3" width="11.7109375" style="32" customWidth="1"/>
    <col min="4" max="4" width="11.7109375" style="34" customWidth="1"/>
    <col min="5" max="5" width="2.7109375" style="34" customWidth="1"/>
    <col min="6" max="8" width="11.7109375" style="34" customWidth="1"/>
    <col min="9" max="10" width="11.7109375" style="32" customWidth="1"/>
    <col min="11" max="11" width="2.7109375" style="32" customWidth="1"/>
    <col min="12" max="16" width="11.7109375" style="32" customWidth="1"/>
    <col min="17" max="17" width="2.7109375" style="32" customWidth="1"/>
    <col min="18" max="21" width="11.7109375" style="32" customWidth="1"/>
    <col min="22" max="22" width="2.7109375" style="32" customWidth="1"/>
    <col min="23" max="16384" width="9.140625" style="32"/>
  </cols>
  <sheetData>
    <row r="1" spans="1:24" s="1" customFormat="1" ht="21" x14ac:dyDescent="0.25">
      <c r="A1" s="53" t="s">
        <v>126</v>
      </c>
      <c r="B1" s="54"/>
      <c r="C1" s="54"/>
      <c r="D1" s="301"/>
      <c r="E1" s="301"/>
      <c r="F1" s="301"/>
      <c r="G1" s="301"/>
      <c r="H1" s="301"/>
      <c r="I1" s="55"/>
      <c r="J1" s="55"/>
      <c r="K1" s="55"/>
      <c r="L1" s="55"/>
      <c r="M1" s="56" t="s">
        <v>242</v>
      </c>
      <c r="N1" s="5"/>
      <c r="O1" s="195">
        <v>12</v>
      </c>
      <c r="P1" s="5"/>
      <c r="Q1" s="5"/>
      <c r="R1" s="5"/>
      <c r="S1" s="5"/>
      <c r="T1" s="5"/>
      <c r="U1" s="5"/>
      <c r="V1" s="5"/>
      <c r="W1" s="5"/>
    </row>
    <row r="2" spans="1:24" s="82" customFormat="1" ht="15.75" x14ac:dyDescent="0.3">
      <c r="B2" s="55"/>
      <c r="C2" s="55"/>
      <c r="D2" s="302"/>
      <c r="E2" s="302"/>
      <c r="F2" s="302"/>
      <c r="G2" s="302"/>
      <c r="H2" s="302"/>
      <c r="I2" s="55"/>
      <c r="J2" s="55"/>
      <c r="K2" s="55"/>
      <c r="L2" s="55"/>
      <c r="M2" s="54"/>
      <c r="N2" s="295"/>
      <c r="O2" s="295"/>
      <c r="P2" s="295"/>
      <c r="Q2" s="295"/>
      <c r="R2" s="295"/>
      <c r="S2" s="295"/>
      <c r="T2" s="295"/>
      <c r="U2" s="295"/>
      <c r="V2" s="295"/>
      <c r="W2" s="295"/>
    </row>
    <row r="3" spans="1:24" s="339" customFormat="1" ht="21" x14ac:dyDescent="0.25">
      <c r="A3" s="56" t="s">
        <v>247</v>
      </c>
      <c r="B3" s="334"/>
      <c r="C3" s="403">
        <v>2020</v>
      </c>
      <c r="D3" s="404"/>
      <c r="E3" s="335"/>
      <c r="F3" s="403">
        <v>2019</v>
      </c>
      <c r="G3" s="405"/>
      <c r="H3" s="423"/>
      <c r="I3" s="423"/>
      <c r="J3" s="424"/>
      <c r="K3" s="335"/>
      <c r="L3" s="403">
        <v>2018</v>
      </c>
      <c r="M3" s="423"/>
      <c r="N3" s="423"/>
      <c r="O3" s="423"/>
      <c r="P3" s="424"/>
      <c r="Q3" s="334"/>
      <c r="R3" s="403">
        <v>2017</v>
      </c>
      <c r="S3" s="405"/>
      <c r="T3" s="405"/>
      <c r="U3" s="404"/>
      <c r="V3" s="335"/>
      <c r="W3" s="337" t="s">
        <v>98</v>
      </c>
    </row>
    <row r="4" spans="1:24" x14ac:dyDescent="0.25">
      <c r="A4" s="23"/>
      <c r="B4" s="23"/>
      <c r="C4" s="420" t="s">
        <v>261</v>
      </c>
      <c r="D4" s="401" t="s">
        <v>44</v>
      </c>
      <c r="E4" s="290"/>
      <c r="F4" s="420" t="s">
        <v>165</v>
      </c>
      <c r="G4" s="419" t="s">
        <v>163</v>
      </c>
      <c r="H4" s="419"/>
      <c r="I4" s="292" t="s">
        <v>118</v>
      </c>
      <c r="J4" s="292" t="s">
        <v>97</v>
      </c>
      <c r="K4" s="292"/>
      <c r="L4" s="420" t="s">
        <v>164</v>
      </c>
      <c r="M4" s="409" t="s">
        <v>163</v>
      </c>
      <c r="N4" s="409"/>
      <c r="O4" s="24" t="s">
        <v>118</v>
      </c>
      <c r="P4" s="24" t="s">
        <v>97</v>
      </c>
      <c r="Q4" s="23"/>
      <c r="R4" s="409" t="s">
        <v>163</v>
      </c>
      <c r="S4" s="422"/>
      <c r="T4" s="24" t="s">
        <v>118</v>
      </c>
      <c r="U4" s="24" t="s">
        <v>97</v>
      </c>
      <c r="V4" s="24"/>
      <c r="W4" s="25"/>
    </row>
    <row r="5" spans="1:24" x14ac:dyDescent="0.25">
      <c r="A5" s="23"/>
      <c r="B5" s="23"/>
      <c r="C5" s="431"/>
      <c r="D5" s="402"/>
      <c r="E5" s="291"/>
      <c r="F5" s="431"/>
      <c r="G5" s="26" t="s">
        <v>161</v>
      </c>
      <c r="H5" s="409" t="s">
        <v>162</v>
      </c>
      <c r="I5" s="408"/>
      <c r="J5" s="408"/>
      <c r="K5" s="293"/>
      <c r="L5" s="421"/>
      <c r="M5" s="26" t="s">
        <v>161</v>
      </c>
      <c r="N5" s="409" t="s">
        <v>162</v>
      </c>
      <c r="O5" s="408"/>
      <c r="P5" s="408"/>
      <c r="Q5" s="23"/>
      <c r="R5" s="26" t="s">
        <v>161</v>
      </c>
      <c r="S5" s="409" t="s">
        <v>162</v>
      </c>
      <c r="T5" s="408"/>
      <c r="U5" s="408"/>
      <c r="V5" s="24"/>
      <c r="W5" s="25"/>
    </row>
    <row r="6" spans="1:24" x14ac:dyDescent="0.25">
      <c r="A6" s="23"/>
      <c r="B6" s="23"/>
      <c r="C6" s="348"/>
      <c r="D6" s="291"/>
      <c r="E6" s="291"/>
      <c r="F6" s="348"/>
      <c r="G6" s="26"/>
      <c r="H6" s="294"/>
      <c r="I6" s="293"/>
      <c r="J6" s="293"/>
      <c r="K6" s="293"/>
      <c r="L6" s="349"/>
      <c r="M6" s="26"/>
      <c r="N6" s="294"/>
      <c r="O6" s="293"/>
      <c r="P6" s="293"/>
      <c r="Q6" s="23"/>
      <c r="R6" s="26"/>
      <c r="S6" s="294"/>
      <c r="T6" s="293"/>
      <c r="U6" s="293"/>
      <c r="V6" s="292"/>
      <c r="W6" s="25"/>
    </row>
    <row r="7" spans="1:24" x14ac:dyDescent="0.25">
      <c r="A7" s="78" t="s">
        <v>20</v>
      </c>
      <c r="B7" s="78"/>
      <c r="C7" s="78"/>
      <c r="D7" s="307"/>
      <c r="E7" s="307"/>
      <c r="F7" s="79"/>
      <c r="G7" s="80"/>
      <c r="H7" s="307"/>
      <c r="J7" s="81"/>
      <c r="K7" s="81"/>
      <c r="L7" s="79"/>
      <c r="M7" s="80"/>
      <c r="N7" s="81"/>
      <c r="O7" s="81"/>
      <c r="P7" s="81"/>
      <c r="Q7" s="81"/>
      <c r="R7" s="80"/>
      <c r="S7" s="81"/>
      <c r="T7" s="81"/>
      <c r="U7" s="81"/>
      <c r="V7" s="5"/>
      <c r="W7" s="5"/>
    </row>
    <row r="8" spans="1:24" x14ac:dyDescent="0.25">
      <c r="A8" s="83" t="s">
        <v>21</v>
      </c>
      <c r="B8" s="83"/>
      <c r="C8" s="84">
        <f>D8-G8</f>
        <v>191</v>
      </c>
      <c r="D8" s="329">
        <v>1105</v>
      </c>
      <c r="E8" s="308"/>
      <c r="F8" s="84">
        <f>G8-M8</f>
        <v>-86</v>
      </c>
      <c r="G8" s="85">
        <v>914</v>
      </c>
      <c r="H8" s="86">
        <f>G8/12*10</f>
        <v>761.66666666666674</v>
      </c>
      <c r="I8" s="343">
        <v>894</v>
      </c>
      <c r="J8" s="86">
        <f>H8-I8</f>
        <v>-132.33333333333326</v>
      </c>
      <c r="K8" s="81"/>
      <c r="L8" s="79">
        <f>M8-R8</f>
        <v>175</v>
      </c>
      <c r="M8" s="36">
        <v>1000</v>
      </c>
      <c r="N8" s="86">
        <f>M8/12*10</f>
        <v>833.33333333333326</v>
      </c>
      <c r="O8" s="86">
        <v>576</v>
      </c>
      <c r="P8" s="86">
        <f>N8-O8</f>
        <v>257.33333333333326</v>
      </c>
      <c r="Q8" s="81"/>
      <c r="R8" s="36">
        <v>825</v>
      </c>
      <c r="S8" s="86">
        <f>R8/12*10</f>
        <v>687.5</v>
      </c>
      <c r="T8" s="37">
        <v>646.87</v>
      </c>
      <c r="U8" s="81">
        <f>S8-T8</f>
        <v>40.629999999999995</v>
      </c>
      <c r="V8" s="13"/>
      <c r="W8" s="75"/>
    </row>
    <row r="9" spans="1:24" x14ac:dyDescent="0.25">
      <c r="A9" s="83" t="s">
        <v>14</v>
      </c>
      <c r="B9" s="83" t="s">
        <v>167</v>
      </c>
      <c r="C9" s="84">
        <f>D9-G9</f>
        <v>-1.0200000000000031</v>
      </c>
      <c r="D9" s="329">
        <v>60</v>
      </c>
      <c r="E9" s="308"/>
      <c r="F9" s="84">
        <f>G9-M9</f>
        <v>1.0200000000000031</v>
      </c>
      <c r="G9" s="85">
        <f>M9+(M9*$C$37)</f>
        <v>61.02</v>
      </c>
      <c r="H9" s="86">
        <f>G9/12*10</f>
        <v>50.85</v>
      </c>
      <c r="I9" s="343">
        <v>65</v>
      </c>
      <c r="J9" s="86">
        <f>H9-I9</f>
        <v>-14.149999999999999</v>
      </c>
      <c r="K9" s="81"/>
      <c r="L9" s="79">
        <f t="shared" ref="L9:L10" si="0">M9-R9</f>
        <v>0</v>
      </c>
      <c r="M9" s="36">
        <v>60</v>
      </c>
      <c r="N9" s="86">
        <f>M9/12*10</f>
        <v>50</v>
      </c>
      <c r="O9" s="86">
        <v>50</v>
      </c>
      <c r="P9" s="86">
        <f>N9-O9</f>
        <v>0</v>
      </c>
      <c r="Q9" s="81"/>
      <c r="R9" s="36">
        <v>60</v>
      </c>
      <c r="S9" s="86">
        <f>R9/12*10</f>
        <v>50</v>
      </c>
      <c r="T9" s="37">
        <v>50</v>
      </c>
      <c r="U9" s="81">
        <f>S9-T9</f>
        <v>0</v>
      </c>
      <c r="V9" s="13"/>
      <c r="W9" s="75"/>
      <c r="X9" s="19"/>
    </row>
    <row r="10" spans="1:24" x14ac:dyDescent="0.25">
      <c r="A10" s="83" t="s">
        <v>15</v>
      </c>
      <c r="B10" s="83" t="s">
        <v>167</v>
      </c>
      <c r="C10" s="84">
        <f>D10-G10</f>
        <v>-137</v>
      </c>
      <c r="D10" s="329">
        <v>880</v>
      </c>
      <c r="E10" s="308"/>
      <c r="F10" s="84">
        <f>G10-M10</f>
        <v>17</v>
      </c>
      <c r="G10" s="85">
        <f>M10+(M10*$C$37)</f>
        <v>1017</v>
      </c>
      <c r="H10" s="86">
        <f>G10/12*10</f>
        <v>847.5</v>
      </c>
      <c r="I10" s="343">
        <v>430</v>
      </c>
      <c r="J10" s="86">
        <f>H10-I10</f>
        <v>417.5</v>
      </c>
      <c r="K10" s="81"/>
      <c r="L10" s="79">
        <f t="shared" si="0"/>
        <v>0</v>
      </c>
      <c r="M10" s="36">
        <v>1000</v>
      </c>
      <c r="N10" s="86">
        <f>M10/12*10</f>
        <v>833.33333333333326</v>
      </c>
      <c r="O10" s="86">
        <v>2562</v>
      </c>
      <c r="P10" s="86">
        <f>N10-O10</f>
        <v>-1728.6666666666667</v>
      </c>
      <c r="Q10" s="81"/>
      <c r="R10" s="36">
        <v>1000</v>
      </c>
      <c r="S10" s="86">
        <f>R10/12*10</f>
        <v>833.33333333333326</v>
      </c>
      <c r="T10" s="37">
        <v>763.34</v>
      </c>
      <c r="U10" s="81">
        <f>S10-T10</f>
        <v>69.993333333333226</v>
      </c>
      <c r="V10" s="13"/>
      <c r="W10" s="87"/>
    </row>
    <row r="11" spans="1:24" x14ac:dyDescent="0.25">
      <c r="A11" s="83" t="s">
        <v>155</v>
      </c>
      <c r="B11" s="83"/>
      <c r="C11" s="84">
        <f>D11-G11</f>
        <v>0</v>
      </c>
      <c r="D11" s="329">
        <v>168</v>
      </c>
      <c r="E11" s="308"/>
      <c r="F11" s="84">
        <f>G11-M11</f>
        <v>168</v>
      </c>
      <c r="G11" s="85">
        <f>140*1.2</f>
        <v>168</v>
      </c>
      <c r="H11" s="86">
        <f>G11/12*10</f>
        <v>140</v>
      </c>
      <c r="I11" s="343">
        <v>168</v>
      </c>
      <c r="J11" s="86">
        <f>H11-I11</f>
        <v>-28</v>
      </c>
      <c r="K11" s="81"/>
      <c r="L11" s="79">
        <f t="shared" ref="L11" si="1">M11-R11</f>
        <v>0</v>
      </c>
      <c r="M11" s="36">
        <v>0</v>
      </c>
      <c r="N11" s="86">
        <f>M11/12*10</f>
        <v>0</v>
      </c>
      <c r="O11" s="86">
        <v>0</v>
      </c>
      <c r="P11" s="86">
        <f>N11-O11</f>
        <v>0</v>
      </c>
      <c r="Q11" s="81"/>
      <c r="R11" s="36">
        <v>0</v>
      </c>
      <c r="S11" s="86">
        <f>R11/12*10</f>
        <v>0</v>
      </c>
      <c r="T11" s="37">
        <v>0</v>
      </c>
      <c r="U11" s="81">
        <f>S11-T11</f>
        <v>0</v>
      </c>
      <c r="V11" s="13"/>
      <c r="W11" s="87"/>
      <c r="X11" s="19"/>
    </row>
    <row r="12" spans="1:24" x14ac:dyDescent="0.25">
      <c r="A12" s="83"/>
      <c r="B12" s="83"/>
      <c r="C12" s="84"/>
      <c r="D12" s="308"/>
      <c r="E12" s="308"/>
      <c r="F12" s="84"/>
      <c r="G12" s="85"/>
      <c r="H12" s="86"/>
      <c r="I12" s="86"/>
      <c r="J12" s="86"/>
      <c r="K12" s="81"/>
      <c r="L12" s="79"/>
      <c r="M12" s="85"/>
      <c r="N12" s="86"/>
      <c r="O12" s="86"/>
      <c r="P12" s="86"/>
      <c r="Q12" s="81"/>
      <c r="R12" s="80"/>
      <c r="S12" s="81"/>
      <c r="T12" s="81"/>
      <c r="U12" s="81"/>
      <c r="V12" s="13"/>
      <c r="W12" s="75"/>
    </row>
    <row r="13" spans="1:24" s="132" customFormat="1" ht="15.75" thickBot="1" x14ac:dyDescent="0.3">
      <c r="A13" s="138" t="s">
        <v>170</v>
      </c>
      <c r="B13" s="78"/>
      <c r="C13" s="88">
        <f>SUM(C7:C12)</f>
        <v>52.97999999999999</v>
      </c>
      <c r="D13" s="89">
        <f>SUM(D7:D12)</f>
        <v>2213</v>
      </c>
      <c r="E13" s="103"/>
      <c r="F13" s="88">
        <f>SUM(F7:F12)</f>
        <v>100.02000000000001</v>
      </c>
      <c r="G13" s="89">
        <f>SUM(G7:G12)</f>
        <v>2160.02</v>
      </c>
      <c r="H13" s="91">
        <f t="shared" ref="H13:J13" si="2">SUM(H7:H12)</f>
        <v>1800.0166666666669</v>
      </c>
      <c r="I13" s="91">
        <f t="shared" si="2"/>
        <v>1557</v>
      </c>
      <c r="J13" s="91">
        <f t="shared" si="2"/>
        <v>243.01666666666677</v>
      </c>
      <c r="K13" s="90"/>
      <c r="L13" s="88">
        <f t="shared" ref="L13:P13" si="3">SUM(L7:L12)</f>
        <v>175</v>
      </c>
      <c r="M13" s="89">
        <f t="shared" si="3"/>
        <v>2060</v>
      </c>
      <c r="N13" s="91">
        <f t="shared" si="3"/>
        <v>1716.6666666666665</v>
      </c>
      <c r="O13" s="91">
        <f t="shared" si="3"/>
        <v>3188</v>
      </c>
      <c r="P13" s="91">
        <f t="shared" si="3"/>
        <v>-1471.3333333333335</v>
      </c>
      <c r="Q13" s="90"/>
      <c r="R13" s="92">
        <f t="shared" ref="R13:U13" si="4">SUM(R7:R12)</f>
        <v>1885</v>
      </c>
      <c r="S13" s="91">
        <f t="shared" si="4"/>
        <v>1570.8333333333333</v>
      </c>
      <c r="T13" s="91">
        <f t="shared" si="4"/>
        <v>1460.21</v>
      </c>
      <c r="U13" s="91">
        <f t="shared" si="4"/>
        <v>110.62333333333322</v>
      </c>
      <c r="V13" s="15"/>
      <c r="W13" s="93"/>
    </row>
    <row r="14" spans="1:24" x14ac:dyDescent="0.25">
      <c r="C14" s="33"/>
      <c r="F14" s="33"/>
      <c r="H14" s="32"/>
      <c r="L14" s="33"/>
      <c r="M14" s="34"/>
      <c r="R14" s="34"/>
      <c r="W14" s="75"/>
    </row>
    <row r="15" spans="1:24" x14ac:dyDescent="0.25">
      <c r="A15" s="49" t="s">
        <v>23</v>
      </c>
      <c r="C15" s="33"/>
      <c r="F15" s="33"/>
      <c r="H15" s="32"/>
      <c r="L15" s="33"/>
      <c r="M15" s="34"/>
      <c r="R15" s="34"/>
      <c r="W15" s="75"/>
    </row>
    <row r="16" spans="1:24" x14ac:dyDescent="0.25">
      <c r="A16" s="50" t="s">
        <v>11</v>
      </c>
      <c r="B16" s="83" t="s">
        <v>167</v>
      </c>
      <c r="C16" s="84">
        <f t="shared" ref="C16:C25" si="5">D16-G16</f>
        <v>796.6</v>
      </c>
      <c r="D16" s="329">
        <v>1000</v>
      </c>
      <c r="E16" s="308"/>
      <c r="F16" s="84">
        <f t="shared" ref="F16:F25" si="6">G16-M16</f>
        <v>3.4000000000000057</v>
      </c>
      <c r="G16" s="85">
        <f>M16+(M16*$C$37)</f>
        <v>203.4</v>
      </c>
      <c r="H16" s="86">
        <f t="shared" ref="H16:H25" si="7">G16/12*10</f>
        <v>169.5</v>
      </c>
      <c r="I16" s="345">
        <v>382</v>
      </c>
      <c r="J16" s="86">
        <f t="shared" ref="J16:J25" si="8">H16-I16</f>
        <v>-212.5</v>
      </c>
      <c r="L16" s="79">
        <f t="shared" ref="L16:L25" si="9">M16-R16</f>
        <v>-400</v>
      </c>
      <c r="M16" s="36">
        <v>200</v>
      </c>
      <c r="N16" s="86">
        <f t="shared" ref="N16:N25" si="10">M16/12*10</f>
        <v>166.66666666666669</v>
      </c>
      <c r="O16" s="117">
        <v>2883.38</v>
      </c>
      <c r="P16" s="86">
        <f t="shared" ref="P16:P25" si="11">N16-O16</f>
        <v>-2716.7133333333336</v>
      </c>
      <c r="R16" s="36">
        <v>600</v>
      </c>
      <c r="S16" s="86">
        <f t="shared" ref="S16:S25" si="12">R16/12*10</f>
        <v>500</v>
      </c>
      <c r="T16" s="37">
        <v>154</v>
      </c>
      <c r="U16" s="81">
        <f t="shared" ref="U16:U29" si="13">S16-T16</f>
        <v>346</v>
      </c>
      <c r="W16" s="75"/>
    </row>
    <row r="17" spans="1:24" x14ac:dyDescent="0.25">
      <c r="A17" s="50" t="s">
        <v>16</v>
      </c>
      <c r="B17" s="83" t="s">
        <v>167</v>
      </c>
      <c r="C17" s="84">
        <f t="shared" si="5"/>
        <v>-0.85000000000000142</v>
      </c>
      <c r="D17" s="329">
        <v>50</v>
      </c>
      <c r="E17" s="308"/>
      <c r="F17" s="84">
        <f t="shared" si="6"/>
        <v>0.85000000000000142</v>
      </c>
      <c r="G17" s="85">
        <f>M17+(M17*$C$37)</f>
        <v>50.85</v>
      </c>
      <c r="H17" s="86">
        <f t="shared" si="7"/>
        <v>42.375</v>
      </c>
      <c r="I17" s="345">
        <v>0</v>
      </c>
      <c r="J17" s="86">
        <f t="shared" si="8"/>
        <v>42.375</v>
      </c>
      <c r="L17" s="79">
        <f t="shared" si="9"/>
        <v>0</v>
      </c>
      <c r="M17" s="36">
        <v>50</v>
      </c>
      <c r="N17" s="86">
        <f t="shared" si="10"/>
        <v>41.666666666666671</v>
      </c>
      <c r="O17" s="117">
        <v>0</v>
      </c>
      <c r="P17" s="86">
        <f t="shared" si="11"/>
        <v>41.666666666666671</v>
      </c>
      <c r="R17" s="36">
        <v>50</v>
      </c>
      <c r="S17" s="86">
        <f t="shared" si="12"/>
        <v>41.666666666666671</v>
      </c>
      <c r="T17" s="37">
        <v>0</v>
      </c>
      <c r="U17" s="81">
        <f t="shared" si="13"/>
        <v>41.666666666666671</v>
      </c>
    </row>
    <row r="18" spans="1:24" x14ac:dyDescent="0.25">
      <c r="A18" s="50" t="s">
        <v>24</v>
      </c>
      <c r="B18" s="83" t="s">
        <v>167</v>
      </c>
      <c r="C18" s="84">
        <f t="shared" si="5"/>
        <v>99.15</v>
      </c>
      <c r="D18" s="329">
        <v>150</v>
      </c>
      <c r="E18" s="308"/>
      <c r="F18" s="84">
        <f t="shared" si="6"/>
        <v>0.85000000000000142</v>
      </c>
      <c r="G18" s="85">
        <f>M18+(M18*$C$37)</f>
        <v>50.85</v>
      </c>
      <c r="H18" s="86">
        <f t="shared" si="7"/>
        <v>42.375</v>
      </c>
      <c r="I18" s="345">
        <v>180</v>
      </c>
      <c r="J18" s="86">
        <f t="shared" si="8"/>
        <v>-137.625</v>
      </c>
      <c r="L18" s="79">
        <f t="shared" si="9"/>
        <v>0</v>
      </c>
      <c r="M18" s="36">
        <v>50</v>
      </c>
      <c r="N18" s="86">
        <f t="shared" si="10"/>
        <v>41.666666666666671</v>
      </c>
      <c r="O18" s="117">
        <v>30</v>
      </c>
      <c r="P18" s="86">
        <f t="shared" si="11"/>
        <v>11.666666666666671</v>
      </c>
      <c r="R18" s="36">
        <v>50</v>
      </c>
      <c r="S18" s="86">
        <f t="shared" si="12"/>
        <v>41.666666666666671</v>
      </c>
      <c r="T18" s="37">
        <v>20</v>
      </c>
      <c r="U18" s="81">
        <f t="shared" si="13"/>
        <v>21.666666666666671</v>
      </c>
    </row>
    <row r="19" spans="1:24" x14ac:dyDescent="0.25">
      <c r="A19" s="50" t="s">
        <v>157</v>
      </c>
      <c r="B19" s="83"/>
      <c r="C19" s="84">
        <f t="shared" si="5"/>
        <v>-152</v>
      </c>
      <c r="D19" s="329">
        <v>168</v>
      </c>
      <c r="E19" s="308"/>
      <c r="F19" s="84">
        <f t="shared" si="6"/>
        <v>120</v>
      </c>
      <c r="G19" s="85">
        <v>320</v>
      </c>
      <c r="H19" s="86">
        <f t="shared" si="7"/>
        <v>266.66666666666669</v>
      </c>
      <c r="I19" s="345">
        <v>307</v>
      </c>
      <c r="J19" s="86">
        <f t="shared" si="8"/>
        <v>-40.333333333333314</v>
      </c>
      <c r="L19" s="79">
        <f t="shared" si="9"/>
        <v>80</v>
      </c>
      <c r="M19" s="36">
        <v>200</v>
      </c>
      <c r="N19" s="86">
        <f t="shared" si="10"/>
        <v>166.66666666666669</v>
      </c>
      <c r="O19" s="117">
        <v>24</v>
      </c>
      <c r="P19" s="86">
        <f t="shared" si="11"/>
        <v>142.66666666666669</v>
      </c>
      <c r="R19" s="36">
        <v>120</v>
      </c>
      <c r="S19" s="86">
        <f t="shared" si="12"/>
        <v>100</v>
      </c>
      <c r="T19" s="37">
        <v>48</v>
      </c>
      <c r="U19" s="81">
        <f t="shared" si="13"/>
        <v>52</v>
      </c>
      <c r="W19" s="75" t="s">
        <v>158</v>
      </c>
    </row>
    <row r="20" spans="1:24" x14ac:dyDescent="0.25">
      <c r="A20" s="50" t="s">
        <v>12</v>
      </c>
      <c r="C20" s="84">
        <f t="shared" si="5"/>
        <v>49.15</v>
      </c>
      <c r="D20" s="328">
        <v>100</v>
      </c>
      <c r="F20" s="84">
        <f t="shared" si="6"/>
        <v>0.85000000000000142</v>
      </c>
      <c r="G20" s="85">
        <f>M20+(M20*$C$37)</f>
        <v>50.85</v>
      </c>
      <c r="H20" s="86">
        <f t="shared" si="7"/>
        <v>42.375</v>
      </c>
      <c r="I20" s="345">
        <v>283</v>
      </c>
      <c r="J20" s="86">
        <f t="shared" si="8"/>
        <v>-240.625</v>
      </c>
      <c r="L20" s="79">
        <f t="shared" si="9"/>
        <v>-3</v>
      </c>
      <c r="M20" s="36">
        <v>50</v>
      </c>
      <c r="N20" s="86">
        <f t="shared" si="10"/>
        <v>41.666666666666671</v>
      </c>
      <c r="O20" s="117">
        <v>90</v>
      </c>
      <c r="P20" s="86">
        <f t="shared" si="11"/>
        <v>-48.333333333333329</v>
      </c>
      <c r="R20" s="36">
        <v>53</v>
      </c>
      <c r="S20" s="86">
        <f t="shared" si="12"/>
        <v>44.166666666666671</v>
      </c>
      <c r="T20" s="37">
        <v>90</v>
      </c>
      <c r="U20" s="81">
        <f t="shared" si="13"/>
        <v>-45.833333333333329</v>
      </c>
      <c r="W20" s="75"/>
    </row>
    <row r="21" spans="1:24" x14ac:dyDescent="0.25">
      <c r="A21" s="50" t="s">
        <v>17</v>
      </c>
      <c r="C21" s="84">
        <f t="shared" si="5"/>
        <v>0</v>
      </c>
      <c r="D21" s="328">
        <v>0</v>
      </c>
      <c r="F21" s="84">
        <f t="shared" si="6"/>
        <v>-120</v>
      </c>
      <c r="G21" s="36">
        <v>0</v>
      </c>
      <c r="H21" s="86">
        <f t="shared" si="7"/>
        <v>0</v>
      </c>
      <c r="I21" s="345">
        <v>0</v>
      </c>
      <c r="J21" s="86">
        <f t="shared" si="8"/>
        <v>0</v>
      </c>
      <c r="L21" s="79">
        <f t="shared" si="9"/>
        <v>30</v>
      </c>
      <c r="M21" s="36">
        <v>120</v>
      </c>
      <c r="N21" s="86">
        <f t="shared" si="10"/>
        <v>100</v>
      </c>
      <c r="O21" s="117">
        <v>0</v>
      </c>
      <c r="P21" s="86">
        <f t="shared" si="11"/>
        <v>100</v>
      </c>
      <c r="R21" s="36">
        <v>90</v>
      </c>
      <c r="S21" s="86">
        <f t="shared" si="12"/>
        <v>75</v>
      </c>
      <c r="T21" s="37">
        <v>50</v>
      </c>
      <c r="U21" s="81">
        <f t="shared" si="13"/>
        <v>25</v>
      </c>
      <c r="W21" s="75" t="s">
        <v>200</v>
      </c>
    </row>
    <row r="22" spans="1:24" x14ac:dyDescent="0.25">
      <c r="A22" s="50" t="s">
        <v>124</v>
      </c>
      <c r="C22" s="84">
        <f t="shared" si="5"/>
        <v>0</v>
      </c>
      <c r="D22" s="328">
        <v>0</v>
      </c>
      <c r="F22" s="84">
        <f t="shared" si="6"/>
        <v>-1000</v>
      </c>
      <c r="G22" s="36">
        <v>0</v>
      </c>
      <c r="H22" s="86">
        <f t="shared" si="7"/>
        <v>0</v>
      </c>
      <c r="I22" s="345">
        <v>180</v>
      </c>
      <c r="J22" s="86">
        <f t="shared" si="8"/>
        <v>-180</v>
      </c>
      <c r="L22" s="79">
        <f t="shared" si="9"/>
        <v>1000</v>
      </c>
      <c r="M22" s="36">
        <v>1000</v>
      </c>
      <c r="N22" s="86">
        <f t="shared" si="10"/>
        <v>833.33333333333326</v>
      </c>
      <c r="O22" s="117">
        <v>513.6</v>
      </c>
      <c r="P22" s="86">
        <f t="shared" si="11"/>
        <v>319.73333333333323</v>
      </c>
      <c r="R22" s="36">
        <v>0</v>
      </c>
      <c r="S22" s="86">
        <f t="shared" si="12"/>
        <v>0</v>
      </c>
      <c r="T22" s="37">
        <v>3923.52</v>
      </c>
      <c r="U22" s="81">
        <f t="shared" si="13"/>
        <v>-3923.52</v>
      </c>
      <c r="W22" s="75"/>
      <c r="X22" s="48"/>
    </row>
    <row r="23" spans="1:24" x14ac:dyDescent="0.25">
      <c r="A23" s="50" t="s">
        <v>131</v>
      </c>
      <c r="C23" s="84">
        <f t="shared" si="5"/>
        <v>0</v>
      </c>
      <c r="D23" s="328">
        <v>0</v>
      </c>
      <c r="F23" s="84">
        <f t="shared" si="6"/>
        <v>0</v>
      </c>
      <c r="G23" s="36">
        <v>0</v>
      </c>
      <c r="H23" s="86">
        <f t="shared" si="7"/>
        <v>0</v>
      </c>
      <c r="I23" s="345">
        <v>0</v>
      </c>
      <c r="J23" s="86">
        <f t="shared" si="8"/>
        <v>0</v>
      </c>
      <c r="L23" s="79">
        <f t="shared" si="9"/>
        <v>0</v>
      </c>
      <c r="M23" s="36">
        <v>0</v>
      </c>
      <c r="N23" s="86">
        <f t="shared" si="10"/>
        <v>0</v>
      </c>
      <c r="O23" s="117">
        <v>8191.2</v>
      </c>
      <c r="P23" s="86">
        <f t="shared" si="11"/>
        <v>-8191.2</v>
      </c>
      <c r="R23" s="36">
        <v>0</v>
      </c>
      <c r="S23" s="86">
        <f t="shared" si="12"/>
        <v>0</v>
      </c>
      <c r="T23" s="37">
        <v>0</v>
      </c>
      <c r="U23" s="81">
        <f t="shared" si="13"/>
        <v>0</v>
      </c>
      <c r="W23" s="75"/>
    </row>
    <row r="24" spans="1:24" x14ac:dyDescent="0.25">
      <c r="A24" s="50" t="s">
        <v>336</v>
      </c>
      <c r="C24" s="84">
        <f t="shared" si="5"/>
        <v>0</v>
      </c>
      <c r="D24" s="328">
        <v>0</v>
      </c>
      <c r="F24" s="84">
        <f t="shared" si="6"/>
        <v>0</v>
      </c>
      <c r="G24" s="36"/>
      <c r="H24" s="86">
        <f t="shared" si="7"/>
        <v>0</v>
      </c>
      <c r="I24" s="345">
        <v>0</v>
      </c>
      <c r="J24" s="86">
        <f t="shared" si="8"/>
        <v>0</v>
      </c>
      <c r="L24" s="79">
        <f t="shared" si="9"/>
        <v>0</v>
      </c>
      <c r="M24" s="36">
        <v>0</v>
      </c>
      <c r="N24" s="86">
        <f t="shared" si="10"/>
        <v>0</v>
      </c>
      <c r="O24" s="117">
        <v>0</v>
      </c>
      <c r="P24" s="86">
        <f t="shared" si="11"/>
        <v>0</v>
      </c>
      <c r="R24" s="36">
        <v>0</v>
      </c>
      <c r="S24" s="86">
        <f t="shared" si="12"/>
        <v>0</v>
      </c>
      <c r="T24" s="37">
        <v>0</v>
      </c>
      <c r="U24" s="81">
        <f t="shared" si="13"/>
        <v>0</v>
      </c>
      <c r="W24" s="32" t="s">
        <v>337</v>
      </c>
    </row>
    <row r="25" spans="1:24" x14ac:dyDescent="0.25">
      <c r="A25" s="50" t="s">
        <v>159</v>
      </c>
      <c r="C25" s="84">
        <f t="shared" si="5"/>
        <v>-321.90476190476193</v>
      </c>
      <c r="D25" s="328">
        <v>0</v>
      </c>
      <c r="F25" s="84">
        <f t="shared" si="6"/>
        <v>321.90476190476193</v>
      </c>
      <c r="G25" s="36">
        <f>Reserves!X11</f>
        <v>321.90476190476193</v>
      </c>
      <c r="H25" s="86">
        <f t="shared" si="7"/>
        <v>268.25396825396825</v>
      </c>
      <c r="I25" s="345">
        <v>636</v>
      </c>
      <c r="J25" s="86">
        <f t="shared" si="8"/>
        <v>-367.74603174603175</v>
      </c>
      <c r="L25" s="79">
        <f t="shared" si="9"/>
        <v>0</v>
      </c>
      <c r="M25" s="36">
        <v>0</v>
      </c>
      <c r="N25" s="86">
        <f t="shared" si="10"/>
        <v>0</v>
      </c>
      <c r="O25" s="117">
        <v>0</v>
      </c>
      <c r="P25" s="86">
        <f t="shared" si="11"/>
        <v>0</v>
      </c>
      <c r="R25" s="36">
        <v>0</v>
      </c>
      <c r="S25" s="86">
        <f t="shared" si="12"/>
        <v>0</v>
      </c>
      <c r="T25" s="37">
        <v>0</v>
      </c>
      <c r="U25" s="81">
        <f t="shared" si="13"/>
        <v>0</v>
      </c>
      <c r="W25" s="75"/>
      <c r="X25" s="48"/>
    </row>
    <row r="26" spans="1:24" x14ac:dyDescent="0.25">
      <c r="A26" s="50"/>
      <c r="C26" s="84"/>
      <c r="F26" s="84"/>
      <c r="G26" s="36"/>
      <c r="H26" s="86"/>
      <c r="L26" s="79"/>
      <c r="M26" s="36"/>
      <c r="N26" s="86"/>
      <c r="R26" s="36"/>
      <c r="S26" s="86"/>
      <c r="T26" s="37"/>
      <c r="U26" s="81"/>
      <c r="W26" s="75"/>
    </row>
    <row r="27" spans="1:24" s="132" customFormat="1" ht="15.75" thickBot="1" x14ac:dyDescent="0.3">
      <c r="A27" s="138" t="s">
        <v>171</v>
      </c>
      <c r="C27" s="94">
        <f>SUM(C15:C26)</f>
        <v>470.14523809523803</v>
      </c>
      <c r="D27" s="95">
        <f>SUM(D15:D26)</f>
        <v>1468</v>
      </c>
      <c r="E27" s="323"/>
      <c r="F27" s="94">
        <f>SUM(F15:F26)</f>
        <v>-672.14523809523803</v>
      </c>
      <c r="G27" s="95">
        <f>SUM(G15:G26)</f>
        <v>997.85476190476197</v>
      </c>
      <c r="H27" s="96">
        <f>SUM(H15:H26)</f>
        <v>831.54563492063494</v>
      </c>
      <c r="I27" s="96">
        <f>SUM(I15:I26)</f>
        <v>1968</v>
      </c>
      <c r="J27" s="96">
        <f>SUM(J15:J26)</f>
        <v>-1136.4543650793651</v>
      </c>
      <c r="L27" s="94">
        <f>SUM(L15:L26)</f>
        <v>707</v>
      </c>
      <c r="M27" s="95">
        <f>SUM(M15:M26)</f>
        <v>1670</v>
      </c>
      <c r="N27" s="96">
        <f>SUM(N15:N26)</f>
        <v>1391.6666666666667</v>
      </c>
      <c r="O27" s="96">
        <f>SUM(O15:O26)</f>
        <v>11732.18</v>
      </c>
      <c r="P27" s="96">
        <f>SUM(P15:P26)</f>
        <v>-10340.513333333334</v>
      </c>
      <c r="R27" s="95">
        <f>SUM(R15:R26)</f>
        <v>963</v>
      </c>
      <c r="S27" s="96">
        <f>SUM(S15:S26)</f>
        <v>802.49999999999989</v>
      </c>
      <c r="T27" s="96">
        <f>SUM(T15:T26)</f>
        <v>4285.5200000000004</v>
      </c>
      <c r="U27" s="96">
        <f>SUM(U15:U26)</f>
        <v>-3483.02</v>
      </c>
      <c r="W27" s="93"/>
    </row>
    <row r="28" spans="1:24" x14ac:dyDescent="0.25">
      <c r="A28" s="35"/>
      <c r="C28" s="97"/>
      <c r="F28" s="97"/>
      <c r="G28" s="41"/>
      <c r="H28" s="42"/>
      <c r="I28" s="42"/>
      <c r="J28" s="42"/>
      <c r="L28" s="97"/>
      <c r="M28" s="41"/>
      <c r="N28" s="42"/>
      <c r="O28" s="42"/>
      <c r="P28" s="42"/>
      <c r="R28" s="41"/>
      <c r="S28" s="42"/>
      <c r="T28" s="42"/>
      <c r="U28" s="42"/>
      <c r="W28" s="75"/>
    </row>
    <row r="29" spans="1:24" x14ac:dyDescent="0.25">
      <c r="A29" s="50" t="s">
        <v>91</v>
      </c>
      <c r="C29" s="84">
        <f>D29-G29</f>
        <v>0</v>
      </c>
      <c r="D29" s="331">
        <f>G29</f>
        <v>670</v>
      </c>
      <c r="E29" s="305"/>
      <c r="F29" s="84">
        <f>G29-M29</f>
        <v>0</v>
      </c>
      <c r="G29" s="36">
        <v>670</v>
      </c>
      <c r="H29" s="86">
        <f>G29/12*10</f>
        <v>558.33333333333337</v>
      </c>
      <c r="I29" s="327"/>
      <c r="L29" s="79">
        <f t="shared" ref="L29" si="14">M29-R29</f>
        <v>0</v>
      </c>
      <c r="M29" s="36">
        <v>670</v>
      </c>
      <c r="N29" s="86">
        <f>M29/12*10</f>
        <v>558.33333333333337</v>
      </c>
      <c r="O29" s="32">
        <v>0</v>
      </c>
      <c r="R29" s="36">
        <v>670</v>
      </c>
      <c r="S29" s="37">
        <f t="shared" ref="S29" si="15">SUM(R29/12*10)</f>
        <v>558.33333333333337</v>
      </c>
      <c r="T29" s="37">
        <v>0</v>
      </c>
      <c r="U29" s="81">
        <f t="shared" si="13"/>
        <v>558.33333333333337</v>
      </c>
      <c r="W29" s="75"/>
    </row>
    <row r="30" spans="1:24" x14ac:dyDescent="0.25">
      <c r="A30" s="50"/>
      <c r="C30" s="84"/>
      <c r="F30" s="84"/>
      <c r="G30" s="36"/>
      <c r="H30" s="86"/>
      <c r="L30" s="79"/>
      <c r="M30" s="36"/>
      <c r="N30" s="86"/>
      <c r="R30" s="36"/>
      <c r="S30" s="37"/>
      <c r="T30" s="37"/>
      <c r="U30" s="81"/>
      <c r="W30" s="75"/>
    </row>
    <row r="31" spans="1:24" s="132" customFormat="1" ht="15.75" thickBot="1" x14ac:dyDescent="0.3">
      <c r="A31" s="138" t="s">
        <v>169</v>
      </c>
      <c r="C31" s="94">
        <f>C13+C27+C29</f>
        <v>523.12523809523805</v>
      </c>
      <c r="D31" s="95">
        <f>D13+D27+D29</f>
        <v>4351</v>
      </c>
      <c r="E31" s="323"/>
      <c r="F31" s="94">
        <f>F13+F27+F29</f>
        <v>-572.12523809523805</v>
      </c>
      <c r="G31" s="95">
        <f>G13+G27+G29</f>
        <v>3827.8747619047617</v>
      </c>
      <c r="H31" s="96">
        <f>H13+H27+H29</f>
        <v>3189.8956349206351</v>
      </c>
      <c r="I31" s="96">
        <f>I13+I27+I29</f>
        <v>3525</v>
      </c>
      <c r="J31" s="96">
        <f>J13+J27+J29</f>
        <v>-893.4376984126983</v>
      </c>
      <c r="L31" s="94">
        <f>L13+L27+L29</f>
        <v>882</v>
      </c>
      <c r="M31" s="95">
        <f>M13+M27+M29</f>
        <v>4400</v>
      </c>
      <c r="N31" s="96">
        <f>N13+N27+N29</f>
        <v>3666.6666666666665</v>
      </c>
      <c r="O31" s="96">
        <f>O13+O27+O29</f>
        <v>14920.18</v>
      </c>
      <c r="P31" s="96">
        <f>P13+P27+P29</f>
        <v>-11811.846666666668</v>
      </c>
      <c r="R31" s="95">
        <f>R13+R27+R29</f>
        <v>3518</v>
      </c>
      <c r="S31" s="96">
        <f>S13+S27+S29</f>
        <v>2931.6666666666665</v>
      </c>
      <c r="T31" s="96">
        <f>T13+T27+T29</f>
        <v>5745.7300000000005</v>
      </c>
      <c r="U31" s="96">
        <f>U13+U27+U29</f>
        <v>-2814.063333333333</v>
      </c>
      <c r="W31" s="93"/>
    </row>
    <row r="32" spans="1:24" x14ac:dyDescent="0.25">
      <c r="A32" s="35"/>
      <c r="C32" s="84"/>
      <c r="H32" s="32"/>
      <c r="L32" s="33"/>
      <c r="M32" s="41"/>
      <c r="R32" s="41"/>
      <c r="S32" s="42"/>
      <c r="T32" s="42"/>
      <c r="W32" s="75"/>
    </row>
    <row r="33" spans="1:24" x14ac:dyDescent="0.25">
      <c r="A33" s="35" t="s">
        <v>99</v>
      </c>
      <c r="C33" s="84">
        <f>D33-G33</f>
        <v>-675</v>
      </c>
      <c r="D33" s="363">
        <f>Reserves!F11</f>
        <v>3825</v>
      </c>
      <c r="E33" s="305"/>
      <c r="F33" s="84">
        <f>G33-M33</f>
        <v>0</v>
      </c>
      <c r="G33" s="41">
        <v>4500</v>
      </c>
      <c r="H33" s="86">
        <f>G33/12*10</f>
        <v>3750</v>
      </c>
      <c r="I33" s="327"/>
      <c r="L33" s="79">
        <f t="shared" ref="L33" si="16">M33-R33</f>
        <v>0</v>
      </c>
      <c r="M33" s="41">
        <v>4500</v>
      </c>
      <c r="N33" s="86">
        <f>M33/12*10</f>
        <v>3750</v>
      </c>
      <c r="O33" s="32">
        <v>0</v>
      </c>
      <c r="R33" s="36">
        <v>4500</v>
      </c>
      <c r="S33" s="37">
        <f t="shared" ref="S33" si="17">SUM(R33/12*10)</f>
        <v>3750</v>
      </c>
      <c r="T33" s="37">
        <v>3375</v>
      </c>
      <c r="U33" s="81">
        <f t="shared" ref="U33" si="18">S33-T33</f>
        <v>375</v>
      </c>
      <c r="W33" s="76" t="s">
        <v>136</v>
      </c>
    </row>
    <row r="34" spans="1:24" x14ac:dyDescent="0.25">
      <c r="A34" s="35"/>
      <c r="C34" s="84"/>
      <c r="F34" s="84"/>
      <c r="G34" s="41"/>
      <c r="H34" s="86"/>
      <c r="L34" s="79"/>
      <c r="M34" s="41"/>
      <c r="N34" s="86"/>
      <c r="R34" s="36"/>
      <c r="S34" s="37"/>
      <c r="T34" s="37"/>
      <c r="U34" s="81"/>
      <c r="W34" s="76"/>
    </row>
    <row r="35" spans="1:24" s="132" customFormat="1" ht="15.75" thickBot="1" x14ac:dyDescent="0.3">
      <c r="A35" s="138" t="s">
        <v>1</v>
      </c>
      <c r="C35" s="98">
        <f t="shared" ref="C35" si="19">SUM(C31:C34)</f>
        <v>-151.87476190476195</v>
      </c>
      <c r="D35" s="99">
        <f t="shared" ref="D35" si="20">SUM(D31:D34)</f>
        <v>8176</v>
      </c>
      <c r="E35" s="320"/>
      <c r="F35" s="128">
        <f>SUM(F31:F34)</f>
        <v>-572.12523809523805</v>
      </c>
      <c r="G35" s="99">
        <f>SUM(I31:I34)</f>
        <v>3525</v>
      </c>
      <c r="H35" s="52">
        <f t="shared" ref="H35:J35" si="21">SUM(H31:H34)</f>
        <v>6939.8956349206346</v>
      </c>
      <c r="I35" s="52">
        <f t="shared" si="21"/>
        <v>3525</v>
      </c>
      <c r="J35" s="52">
        <f t="shared" si="21"/>
        <v>-893.4376984126983</v>
      </c>
      <c r="L35" s="98">
        <f t="shared" ref="L35:P35" si="22">SUM(L31:L34)</f>
        <v>882</v>
      </c>
      <c r="M35" s="99">
        <f t="shared" si="22"/>
        <v>8900</v>
      </c>
      <c r="N35" s="52">
        <f t="shared" si="22"/>
        <v>7416.6666666666661</v>
      </c>
      <c r="O35" s="52">
        <f t="shared" si="22"/>
        <v>14920.18</v>
      </c>
      <c r="P35" s="52">
        <f t="shared" si="22"/>
        <v>-11811.846666666668</v>
      </c>
      <c r="R35" s="99">
        <f>SUM(R31:R34)</f>
        <v>8018</v>
      </c>
      <c r="S35" s="52">
        <f t="shared" ref="S35:U35" si="23">SUM(S31:S34)</f>
        <v>6681.6666666666661</v>
      </c>
      <c r="T35" s="52">
        <f t="shared" si="23"/>
        <v>9120.73</v>
      </c>
      <c r="U35" s="52">
        <f t="shared" si="23"/>
        <v>-2439.063333333333</v>
      </c>
      <c r="W35" s="158">
        <f>SUM(B35:V35)</f>
        <v>62236.791269841277</v>
      </c>
      <c r="X35" s="159" t="s">
        <v>174</v>
      </c>
    </row>
    <row r="36" spans="1:24" x14ac:dyDescent="0.25">
      <c r="R36" s="34"/>
    </row>
    <row r="37" spans="1:24" x14ac:dyDescent="0.25">
      <c r="A37" s="5" t="s">
        <v>166</v>
      </c>
      <c r="B37" s="5"/>
      <c r="C37" s="100">
        <f>Summary!$C$25</f>
        <v>1.7000000000000001E-2</v>
      </c>
      <c r="D37" s="306"/>
      <c r="E37" s="306"/>
      <c r="F37" s="306"/>
      <c r="G37" s="306"/>
      <c r="H37" s="306"/>
    </row>
    <row r="39" spans="1:24" x14ac:dyDescent="0.25">
      <c r="A39" s="14" t="s">
        <v>98</v>
      </c>
      <c r="B39" s="185"/>
      <c r="C39" s="295"/>
      <c r="D39" s="306"/>
      <c r="E39" s="306"/>
      <c r="F39" s="306"/>
      <c r="G39" s="306"/>
      <c r="H39" s="306"/>
      <c r="I39" s="185"/>
    </row>
    <row r="40" spans="1:24" ht="30" customHeight="1" x14ac:dyDescent="0.25">
      <c r="A40" s="432" t="s">
        <v>214</v>
      </c>
      <c r="B40" s="373"/>
      <c r="C40" s="373"/>
      <c r="D40" s="373"/>
      <c r="E40" s="373"/>
      <c r="F40" s="373"/>
      <c r="G40" s="373"/>
      <c r="H40" s="373"/>
      <c r="I40" s="373"/>
    </row>
    <row r="41" spans="1:24" x14ac:dyDescent="0.25">
      <c r="A41" s="32" t="s">
        <v>220</v>
      </c>
    </row>
    <row r="42" spans="1:24" x14ac:dyDescent="0.25">
      <c r="A42" s="32" t="s">
        <v>221</v>
      </c>
    </row>
    <row r="43" spans="1:24" x14ac:dyDescent="0.25">
      <c r="A43" s="32" t="s">
        <v>222</v>
      </c>
    </row>
    <row r="44" spans="1:24" x14ac:dyDescent="0.25">
      <c r="A44" s="32" t="s">
        <v>223</v>
      </c>
    </row>
    <row r="45" spans="1:24" x14ac:dyDescent="0.25">
      <c r="A45" s="32" t="s">
        <v>224</v>
      </c>
    </row>
    <row r="46" spans="1:24" x14ac:dyDescent="0.25">
      <c r="A46" s="32" t="s">
        <v>225</v>
      </c>
    </row>
    <row r="48" spans="1:24" ht="18.75" x14ac:dyDescent="0.25">
      <c r="A48" s="351" t="s">
        <v>267</v>
      </c>
      <c r="B48" s="352"/>
      <c r="C48" s="353" t="s">
        <v>236</v>
      </c>
      <c r="D48" s="354" t="s">
        <v>237</v>
      </c>
      <c r="F48" s="356" t="s">
        <v>268</v>
      </c>
    </row>
    <row r="49" spans="1:6" ht="30" x14ac:dyDescent="0.25">
      <c r="A49" s="369" t="s">
        <v>299</v>
      </c>
      <c r="B49" s="237"/>
      <c r="C49" s="239"/>
      <c r="D49" s="239"/>
    </row>
    <row r="50" spans="1:6" x14ac:dyDescent="0.25">
      <c r="A50" s="192"/>
      <c r="B50" s="237"/>
      <c r="C50" s="239"/>
      <c r="D50" s="239"/>
    </row>
    <row r="51" spans="1:6" x14ac:dyDescent="0.25">
      <c r="A51" s="192"/>
      <c r="B51" s="237"/>
      <c r="C51" s="238"/>
      <c r="D51" s="239"/>
    </row>
    <row r="52" spans="1:6" x14ac:dyDescent="0.25">
      <c r="A52" s="192"/>
      <c r="B52" s="237"/>
      <c r="C52" s="238"/>
      <c r="D52" s="239"/>
    </row>
    <row r="53" spans="1:6" x14ac:dyDescent="0.25">
      <c r="A53" s="194"/>
      <c r="B53" s="193"/>
      <c r="C53" s="191"/>
      <c r="D53" s="191"/>
    </row>
    <row r="54" spans="1:6" x14ac:dyDescent="0.25">
      <c r="A54" s="194"/>
      <c r="B54" s="193"/>
      <c r="C54" s="191"/>
      <c r="D54" s="191"/>
    </row>
    <row r="55" spans="1:6" x14ac:dyDescent="0.25">
      <c r="A55" s="194"/>
      <c r="B55" s="193"/>
      <c r="C55" s="191"/>
      <c r="D55" s="191"/>
    </row>
    <row r="56" spans="1:6" x14ac:dyDescent="0.25">
      <c r="A56" s="194"/>
      <c r="B56" s="193"/>
      <c r="C56" s="191"/>
      <c r="D56" s="191"/>
    </row>
    <row r="57" spans="1:6" x14ac:dyDescent="0.25">
      <c r="A57" s="194"/>
      <c r="B57" s="193"/>
      <c r="C57" s="191"/>
      <c r="D57" s="191"/>
    </row>
    <row r="58" spans="1:6" x14ac:dyDescent="0.25">
      <c r="A58" s="221"/>
      <c r="B58" s="237"/>
      <c r="C58" s="238"/>
      <c r="D58" s="238"/>
    </row>
    <row r="59" spans="1:6" x14ac:dyDescent="0.25">
      <c r="A59" s="240" t="s">
        <v>201</v>
      </c>
      <c r="B59" s="241"/>
      <c r="C59" s="242">
        <f>SUM(C49:C58)</f>
        <v>0</v>
      </c>
      <c r="D59" s="242">
        <f>SUM(D49:D58)</f>
        <v>0</v>
      </c>
    </row>
    <row r="60" spans="1:6" x14ac:dyDescent="0.25">
      <c r="A60" s="295"/>
      <c r="B60" s="226"/>
      <c r="C60" s="226"/>
      <c r="D60" s="303"/>
    </row>
    <row r="61" spans="1:6" ht="30" customHeight="1" x14ac:dyDescent="0.25">
      <c r="A61" s="414"/>
      <c r="B61" s="415"/>
      <c r="C61" s="415"/>
      <c r="D61" s="415"/>
      <c r="E61" s="425"/>
      <c r="F61" s="425"/>
    </row>
    <row r="62" spans="1:6" ht="30" customHeight="1" x14ac:dyDescent="0.25">
      <c r="A62" s="414"/>
      <c r="B62" s="415"/>
      <c r="C62" s="415"/>
      <c r="D62" s="415"/>
      <c r="E62" s="425"/>
      <c r="F62" s="425"/>
    </row>
    <row r="63" spans="1:6" ht="30" customHeight="1" x14ac:dyDescent="0.25">
      <c r="A63" s="414"/>
      <c r="B63" s="415"/>
      <c r="C63" s="415"/>
      <c r="D63" s="415"/>
      <c r="E63" s="425"/>
      <c r="F63" s="425"/>
    </row>
  </sheetData>
  <mergeCells count="18">
    <mergeCell ref="R3:U3"/>
    <mergeCell ref="F4:F5"/>
    <mergeCell ref="L4:L5"/>
    <mergeCell ref="M4:N4"/>
    <mergeCell ref="R4:S4"/>
    <mergeCell ref="N5:P5"/>
    <mergeCell ref="S5:U5"/>
    <mergeCell ref="G4:H4"/>
    <mergeCell ref="H5:J5"/>
    <mergeCell ref="F3:J3"/>
    <mergeCell ref="L3:P3"/>
    <mergeCell ref="A61:F61"/>
    <mergeCell ref="A62:F62"/>
    <mergeCell ref="A63:F63"/>
    <mergeCell ref="A40:I40"/>
    <mergeCell ref="C3:D3"/>
    <mergeCell ref="C4:C5"/>
    <mergeCell ref="D4:D5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88" orientation="landscape" horizont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X55"/>
  <sheetViews>
    <sheetView showGridLines="0" zoomScale="80" zoomScaleNormal="80" workbookViewId="0">
      <pane ySplit="5" topLeftCell="A39" activePane="bottomLeft" state="frozen"/>
      <selection pane="bottomLeft" activeCell="A38" sqref="A38:I38"/>
    </sheetView>
  </sheetViews>
  <sheetFormatPr defaultColWidth="9.140625" defaultRowHeight="15" x14ac:dyDescent="0.25"/>
  <cols>
    <col min="1" max="1" width="40.7109375" style="32" customWidth="1"/>
    <col min="2" max="2" width="2.7109375" style="32" customWidth="1"/>
    <col min="3" max="3" width="11.7109375" style="32" customWidth="1"/>
    <col min="4" max="4" width="11.7109375" style="34" customWidth="1"/>
    <col min="5" max="5" width="2.7109375" style="34" customWidth="1"/>
    <col min="6" max="8" width="11.7109375" style="34" customWidth="1"/>
    <col min="9" max="10" width="11.7109375" style="32" customWidth="1"/>
    <col min="11" max="11" width="2.7109375" style="32" customWidth="1"/>
    <col min="12" max="16" width="11.7109375" style="32" customWidth="1"/>
    <col min="17" max="17" width="2.7109375" style="32" customWidth="1"/>
    <col min="18" max="21" width="11.7109375" style="32" customWidth="1"/>
    <col min="22" max="22" width="2.7109375" style="32" customWidth="1"/>
    <col min="23" max="16384" width="9.140625" style="32"/>
  </cols>
  <sheetData>
    <row r="1" spans="1:24" customFormat="1" ht="21" x14ac:dyDescent="0.2">
      <c r="A1" s="53" t="s">
        <v>126</v>
      </c>
      <c r="B1" s="54"/>
      <c r="C1" s="54"/>
      <c r="D1" s="301"/>
      <c r="E1" s="301"/>
      <c r="F1" s="301"/>
      <c r="G1" s="301"/>
      <c r="H1" s="301"/>
      <c r="I1" s="55"/>
      <c r="J1" s="55"/>
      <c r="K1" s="55"/>
      <c r="L1" s="55"/>
      <c r="M1" s="56" t="s">
        <v>242</v>
      </c>
      <c r="N1" s="5"/>
      <c r="O1" s="195">
        <v>12</v>
      </c>
      <c r="P1" s="5"/>
      <c r="Q1" s="5"/>
      <c r="R1" s="5"/>
      <c r="S1" s="5"/>
      <c r="T1" s="5"/>
      <c r="U1" s="5"/>
      <c r="V1" s="5"/>
      <c r="W1" s="5"/>
    </row>
    <row r="2" spans="1:24" s="2" customFormat="1" x14ac:dyDescent="0.25">
      <c r="A2" s="32"/>
      <c r="B2" s="55"/>
      <c r="C2" s="55"/>
      <c r="D2" s="302"/>
      <c r="E2" s="302"/>
      <c r="F2" s="302"/>
      <c r="G2" s="302"/>
      <c r="H2" s="302"/>
      <c r="I2" s="55"/>
      <c r="J2" s="55"/>
      <c r="K2" s="55"/>
      <c r="L2" s="55"/>
      <c r="M2" s="54"/>
      <c r="N2" s="295"/>
      <c r="O2" s="295"/>
      <c r="P2" s="295"/>
      <c r="Q2" s="295"/>
      <c r="R2" s="295"/>
      <c r="S2" s="295"/>
      <c r="T2" s="295"/>
      <c r="U2" s="295"/>
      <c r="V2" s="295"/>
      <c r="W2" s="295"/>
    </row>
    <row r="3" spans="1:24" s="338" customFormat="1" ht="21" x14ac:dyDescent="0.2">
      <c r="A3" s="56" t="s">
        <v>248</v>
      </c>
      <c r="B3" s="334"/>
      <c r="C3" s="403">
        <v>2020</v>
      </c>
      <c r="D3" s="404"/>
      <c r="E3" s="335"/>
      <c r="F3" s="403">
        <v>2019</v>
      </c>
      <c r="G3" s="405"/>
      <c r="H3" s="423"/>
      <c r="I3" s="423"/>
      <c r="J3" s="424"/>
      <c r="K3" s="335"/>
      <c r="L3" s="403">
        <v>2018</v>
      </c>
      <c r="M3" s="423"/>
      <c r="N3" s="423"/>
      <c r="O3" s="423"/>
      <c r="P3" s="424"/>
      <c r="Q3" s="334"/>
      <c r="R3" s="403">
        <v>2017</v>
      </c>
      <c r="S3" s="405"/>
      <c r="T3" s="405"/>
      <c r="U3" s="404"/>
      <c r="V3" s="335"/>
      <c r="W3" s="337" t="s">
        <v>98</v>
      </c>
    </row>
    <row r="4" spans="1:24" x14ac:dyDescent="0.25">
      <c r="A4" s="23"/>
      <c r="B4" s="23"/>
      <c r="C4" s="420" t="s">
        <v>261</v>
      </c>
      <c r="D4" s="401" t="s">
        <v>44</v>
      </c>
      <c r="E4" s="290"/>
      <c r="F4" s="420" t="s">
        <v>165</v>
      </c>
      <c r="G4" s="419" t="s">
        <v>163</v>
      </c>
      <c r="H4" s="419"/>
      <c r="I4" s="292" t="s">
        <v>118</v>
      </c>
      <c r="J4" s="292" t="s">
        <v>97</v>
      </c>
      <c r="K4" s="292"/>
      <c r="L4" s="420" t="s">
        <v>164</v>
      </c>
      <c r="M4" s="409" t="s">
        <v>163</v>
      </c>
      <c r="N4" s="409"/>
      <c r="O4" s="24" t="s">
        <v>118</v>
      </c>
      <c r="P4" s="24" t="s">
        <v>97</v>
      </c>
      <c r="Q4" s="23"/>
      <c r="R4" s="409" t="s">
        <v>163</v>
      </c>
      <c r="S4" s="422"/>
      <c r="T4" s="24" t="s">
        <v>118</v>
      </c>
      <c r="U4" s="24" t="s">
        <v>97</v>
      </c>
      <c r="V4" s="24"/>
      <c r="W4" s="25"/>
    </row>
    <row r="5" spans="1:24" x14ac:dyDescent="0.25">
      <c r="A5" s="23"/>
      <c r="B5" s="23"/>
      <c r="C5" s="431"/>
      <c r="D5" s="402"/>
      <c r="E5" s="291"/>
      <c r="F5" s="431"/>
      <c r="G5" s="26" t="s">
        <v>161</v>
      </c>
      <c r="H5" s="409" t="s">
        <v>162</v>
      </c>
      <c r="I5" s="408"/>
      <c r="J5" s="408"/>
      <c r="K5" s="293"/>
      <c r="L5" s="421"/>
      <c r="M5" s="26" t="s">
        <v>161</v>
      </c>
      <c r="N5" s="409" t="s">
        <v>162</v>
      </c>
      <c r="O5" s="408"/>
      <c r="P5" s="408"/>
      <c r="Q5" s="23"/>
      <c r="R5" s="26" t="s">
        <v>161</v>
      </c>
      <c r="S5" s="409" t="s">
        <v>162</v>
      </c>
      <c r="T5" s="408"/>
      <c r="U5" s="408"/>
      <c r="V5" s="24"/>
      <c r="W5" s="25"/>
    </row>
    <row r="6" spans="1:24" x14ac:dyDescent="0.25">
      <c r="A6" s="23"/>
      <c r="B6" s="23"/>
      <c r="C6" s="348"/>
      <c r="D6" s="291"/>
      <c r="E6" s="291"/>
      <c r="F6" s="348"/>
      <c r="G6" s="26"/>
      <c r="H6" s="294"/>
      <c r="I6" s="293"/>
      <c r="J6" s="293"/>
      <c r="K6" s="293"/>
      <c r="L6" s="349"/>
      <c r="M6" s="26"/>
      <c r="N6" s="294"/>
      <c r="O6" s="293"/>
      <c r="P6" s="293"/>
      <c r="Q6" s="23"/>
      <c r="R6" s="26"/>
      <c r="S6" s="294"/>
      <c r="T6" s="293"/>
      <c r="U6" s="293"/>
      <c r="V6" s="292"/>
      <c r="W6" s="25"/>
    </row>
    <row r="7" spans="1:24" x14ac:dyDescent="0.25">
      <c r="A7" s="78" t="s">
        <v>20</v>
      </c>
      <c r="B7" s="78"/>
      <c r="C7" s="78"/>
      <c r="D7" s="307"/>
      <c r="E7" s="307"/>
      <c r="F7" s="79"/>
      <c r="G7" s="80"/>
      <c r="H7" s="307"/>
      <c r="J7" s="81"/>
      <c r="K7" s="81"/>
      <c r="L7" s="79"/>
      <c r="M7" s="80"/>
      <c r="N7" s="81"/>
      <c r="O7" s="81"/>
      <c r="P7" s="81"/>
      <c r="Q7" s="81"/>
      <c r="R7" s="80"/>
      <c r="S7" s="81"/>
      <c r="T7" s="81"/>
      <c r="U7" s="81"/>
      <c r="V7" s="5"/>
      <c r="W7" s="5"/>
    </row>
    <row r="8" spans="1:24" x14ac:dyDescent="0.25">
      <c r="A8" s="83" t="s">
        <v>21</v>
      </c>
      <c r="B8" s="83"/>
      <c r="C8" s="84">
        <f>D8-G8</f>
        <v>152</v>
      </c>
      <c r="D8" s="329">
        <v>880</v>
      </c>
      <c r="E8" s="308"/>
      <c r="F8" s="84">
        <f>G8-M8</f>
        <v>-172</v>
      </c>
      <c r="G8" s="85">
        <v>728</v>
      </c>
      <c r="H8" s="86">
        <f>G8/12*10</f>
        <v>606.66666666666663</v>
      </c>
      <c r="I8" s="343">
        <v>711</v>
      </c>
      <c r="J8" s="86">
        <f>H8-I8</f>
        <v>-104.33333333333337</v>
      </c>
      <c r="K8" s="81"/>
      <c r="L8" s="79">
        <f>M8-R8</f>
        <v>215</v>
      </c>
      <c r="M8" s="85">
        <v>900</v>
      </c>
      <c r="N8" s="86">
        <f>M8/12*10</f>
        <v>750</v>
      </c>
      <c r="O8" s="86">
        <v>496</v>
      </c>
      <c r="P8" s="86">
        <f>N8-O8</f>
        <v>254</v>
      </c>
      <c r="Q8" s="81"/>
      <c r="R8" s="116">
        <v>685</v>
      </c>
      <c r="S8" s="86">
        <f>R8/12*10</f>
        <v>570.83333333333337</v>
      </c>
      <c r="T8" s="117">
        <v>555.28</v>
      </c>
      <c r="U8" s="81">
        <f>S8-T8</f>
        <v>15.553333333333399</v>
      </c>
      <c r="V8" s="13"/>
      <c r="W8" s="75"/>
    </row>
    <row r="9" spans="1:24" x14ac:dyDescent="0.25">
      <c r="A9" s="83" t="s">
        <v>14</v>
      </c>
      <c r="B9" s="83" t="s">
        <v>167</v>
      </c>
      <c r="C9" s="84">
        <f>D9-G9</f>
        <v>-2.0400000000000063</v>
      </c>
      <c r="D9" s="329">
        <v>120</v>
      </c>
      <c r="E9" s="308"/>
      <c r="F9" s="84">
        <f>G9-M9</f>
        <v>2.0400000000000063</v>
      </c>
      <c r="G9" s="85">
        <f>M9+(M9*$C$33)</f>
        <v>122.04</v>
      </c>
      <c r="H9" s="86">
        <f>G9/12*10</f>
        <v>101.7</v>
      </c>
      <c r="I9" s="343">
        <v>100</v>
      </c>
      <c r="J9" s="86">
        <f>H9-I9</f>
        <v>1.7000000000000028</v>
      </c>
      <c r="K9" s="81"/>
      <c r="L9" s="79">
        <f t="shared" ref="L9:L11" si="0">M9-R9</f>
        <v>0</v>
      </c>
      <c r="M9" s="85">
        <v>120</v>
      </c>
      <c r="N9" s="86">
        <f>M9/12*10</f>
        <v>100</v>
      </c>
      <c r="O9" s="86">
        <v>100</v>
      </c>
      <c r="P9" s="86">
        <f>N9-O9</f>
        <v>0</v>
      </c>
      <c r="Q9" s="81"/>
      <c r="R9" s="116">
        <v>120</v>
      </c>
      <c r="S9" s="86">
        <f>R9/12*10</f>
        <v>100</v>
      </c>
      <c r="T9" s="117">
        <v>100</v>
      </c>
      <c r="U9" s="81">
        <f>S9-T9</f>
        <v>0</v>
      </c>
      <c r="V9" s="13"/>
      <c r="W9" s="75"/>
      <c r="X9" s="19"/>
    </row>
    <row r="10" spans="1:24" ht="17.25" x14ac:dyDescent="0.25">
      <c r="A10" s="83" t="s">
        <v>213</v>
      </c>
      <c r="B10" s="83" t="s">
        <v>167</v>
      </c>
      <c r="C10" s="84">
        <f>D10-G10</f>
        <v>-133.5</v>
      </c>
      <c r="D10" s="329">
        <v>375</v>
      </c>
      <c r="E10" s="308"/>
      <c r="F10" s="84">
        <f>G10-M10</f>
        <v>8.5</v>
      </c>
      <c r="G10" s="85">
        <f>M10+(M10*$C$33)</f>
        <v>508.5</v>
      </c>
      <c r="H10" s="86">
        <f>G10/12*10</f>
        <v>423.75</v>
      </c>
      <c r="I10" s="343">
        <v>259</v>
      </c>
      <c r="J10" s="86">
        <f>H10-I10</f>
        <v>164.75</v>
      </c>
      <c r="K10" s="81"/>
      <c r="L10" s="79">
        <f t="shared" si="0"/>
        <v>100</v>
      </c>
      <c r="M10" s="85">
        <v>500</v>
      </c>
      <c r="N10" s="86">
        <f>M10/12*10</f>
        <v>416.66666666666663</v>
      </c>
      <c r="O10" s="86">
        <v>973.62</v>
      </c>
      <c r="P10" s="86">
        <f>N10-O10</f>
        <v>-556.95333333333338</v>
      </c>
      <c r="Q10" s="81"/>
      <c r="R10" s="116">
        <v>400</v>
      </c>
      <c r="S10" s="86">
        <f>R10/12*10</f>
        <v>333.33333333333337</v>
      </c>
      <c r="T10" s="117">
        <v>267.77</v>
      </c>
      <c r="U10" s="81">
        <f>S10-T10</f>
        <v>65.563333333333389</v>
      </c>
      <c r="V10" s="13"/>
      <c r="W10" s="37"/>
    </row>
    <row r="11" spans="1:24" x14ac:dyDescent="0.25">
      <c r="A11" s="83" t="s">
        <v>155</v>
      </c>
      <c r="B11" s="83"/>
      <c r="C11" s="84">
        <f>D11-G11</f>
        <v>0</v>
      </c>
      <c r="D11" s="329">
        <v>546</v>
      </c>
      <c r="E11" s="308"/>
      <c r="F11" s="84">
        <f>G11-M11</f>
        <v>546</v>
      </c>
      <c r="G11" s="85">
        <f>455*1.2</f>
        <v>546</v>
      </c>
      <c r="H11" s="86">
        <f>G11/12*10</f>
        <v>455</v>
      </c>
      <c r="I11" s="343">
        <v>546</v>
      </c>
      <c r="J11" s="86">
        <f>H11-I11</f>
        <v>-91</v>
      </c>
      <c r="K11" s="81"/>
      <c r="L11" s="79">
        <f t="shared" si="0"/>
        <v>0</v>
      </c>
      <c r="M11" s="85">
        <v>0</v>
      </c>
      <c r="N11" s="86">
        <f>M11/12*10</f>
        <v>0</v>
      </c>
      <c r="O11" s="86">
        <v>0</v>
      </c>
      <c r="P11" s="86">
        <f>N11-O11</f>
        <v>0</v>
      </c>
      <c r="Q11" s="81"/>
      <c r="R11" s="80"/>
      <c r="S11" s="81"/>
      <c r="T11" s="81"/>
      <c r="U11" s="81"/>
      <c r="V11" s="13"/>
      <c r="W11" s="37"/>
    </row>
    <row r="12" spans="1:24" x14ac:dyDescent="0.25">
      <c r="A12" s="83"/>
      <c r="B12" s="83"/>
      <c r="C12" s="84"/>
      <c r="D12" s="308"/>
      <c r="E12" s="308"/>
      <c r="F12" s="84"/>
      <c r="G12" s="85"/>
      <c r="H12" s="86"/>
      <c r="I12" s="86"/>
      <c r="J12" s="86"/>
      <c r="K12" s="81"/>
      <c r="L12" s="79"/>
      <c r="M12" s="85"/>
      <c r="N12" s="86"/>
      <c r="O12" s="86"/>
      <c r="P12" s="86"/>
      <c r="Q12" s="81"/>
      <c r="R12" s="80"/>
      <c r="S12" s="81"/>
      <c r="T12" s="81"/>
      <c r="U12" s="81"/>
      <c r="V12" s="13"/>
      <c r="W12" s="37"/>
    </row>
    <row r="13" spans="1:24" s="132" customFormat="1" ht="15.75" thickBot="1" x14ac:dyDescent="0.3">
      <c r="A13" s="138" t="s">
        <v>170</v>
      </c>
      <c r="B13" s="78"/>
      <c r="C13" s="88">
        <f>SUM(C7:C12)</f>
        <v>16.45999999999998</v>
      </c>
      <c r="D13" s="89">
        <f>SUM(D7:D12)</f>
        <v>1921</v>
      </c>
      <c r="E13" s="103"/>
      <c r="F13" s="88">
        <f>SUM(F7:F12)</f>
        <v>384.54</v>
      </c>
      <c r="G13" s="89">
        <f>SUM(G7:G12)</f>
        <v>1904.54</v>
      </c>
      <c r="H13" s="91">
        <f t="shared" ref="H13:J13" si="1">SUM(H7:H12)</f>
        <v>1587.1166666666668</v>
      </c>
      <c r="I13" s="91">
        <f t="shared" si="1"/>
        <v>1616</v>
      </c>
      <c r="J13" s="91">
        <f t="shared" si="1"/>
        <v>-28.883333333333368</v>
      </c>
      <c r="K13" s="90"/>
      <c r="L13" s="88">
        <f t="shared" ref="L13:P13" si="2">SUM(L7:L12)</f>
        <v>315</v>
      </c>
      <c r="M13" s="89">
        <f t="shared" si="2"/>
        <v>1520</v>
      </c>
      <c r="N13" s="91">
        <f t="shared" si="2"/>
        <v>1266.6666666666665</v>
      </c>
      <c r="O13" s="91">
        <f t="shared" si="2"/>
        <v>1569.62</v>
      </c>
      <c r="P13" s="91">
        <f t="shared" si="2"/>
        <v>-302.95333333333338</v>
      </c>
      <c r="Q13" s="90"/>
      <c r="R13" s="92">
        <f t="shared" ref="R13:U13" si="3">SUM(R7:R12)</f>
        <v>1205</v>
      </c>
      <c r="S13" s="91">
        <f t="shared" si="3"/>
        <v>1004.1666666666667</v>
      </c>
      <c r="T13" s="91">
        <f t="shared" si="3"/>
        <v>923.05</v>
      </c>
      <c r="U13" s="91">
        <f t="shared" si="3"/>
        <v>81.116666666666788</v>
      </c>
      <c r="V13" s="15"/>
      <c r="W13" s="45"/>
    </row>
    <row r="14" spans="1:24" x14ac:dyDescent="0.25">
      <c r="C14" s="115"/>
      <c r="F14" s="115"/>
      <c r="G14" s="116"/>
      <c r="H14" s="117"/>
      <c r="I14" s="117"/>
      <c r="J14" s="117"/>
      <c r="K14" s="117"/>
      <c r="L14" s="115"/>
      <c r="M14" s="116"/>
      <c r="N14" s="117"/>
      <c r="O14" s="117"/>
      <c r="P14" s="117"/>
      <c r="Q14" s="117"/>
      <c r="R14" s="116"/>
      <c r="S14" s="117"/>
      <c r="T14" s="117"/>
      <c r="U14" s="117"/>
      <c r="W14" s="37"/>
    </row>
    <row r="15" spans="1:24" x14ac:dyDescent="0.25">
      <c r="A15" s="49" t="s">
        <v>23</v>
      </c>
      <c r="C15" s="115"/>
      <c r="F15" s="115"/>
      <c r="G15" s="116"/>
      <c r="H15" s="117"/>
      <c r="I15" s="117"/>
      <c r="J15" s="117"/>
      <c r="K15" s="117"/>
      <c r="L15" s="115"/>
      <c r="M15" s="116"/>
      <c r="N15" s="117"/>
      <c r="O15" s="117"/>
      <c r="P15" s="117"/>
      <c r="Q15" s="117"/>
      <c r="R15" s="116"/>
      <c r="S15" s="117"/>
      <c r="T15" s="117"/>
      <c r="U15" s="117"/>
      <c r="W15" s="37"/>
    </row>
    <row r="16" spans="1:24" x14ac:dyDescent="0.25">
      <c r="A16" s="50" t="s">
        <v>22</v>
      </c>
      <c r="B16" s="83" t="s">
        <v>167</v>
      </c>
      <c r="C16" s="84">
        <f t="shared" ref="C16:C21" si="4">D16-G16</f>
        <v>-258.5</v>
      </c>
      <c r="D16" s="329">
        <v>250</v>
      </c>
      <c r="E16" s="308"/>
      <c r="F16" s="84">
        <f t="shared" ref="F16:F21" si="5">G16-M16</f>
        <v>8.5</v>
      </c>
      <c r="G16" s="85">
        <f>M16+(M16*$C$33)</f>
        <v>508.5</v>
      </c>
      <c r="H16" s="86">
        <f t="shared" ref="H16:H21" si="6">G16/12*10</f>
        <v>423.75</v>
      </c>
      <c r="I16" s="345">
        <v>0</v>
      </c>
      <c r="J16" s="86">
        <f t="shared" ref="J16:J21" si="7">H16-I16</f>
        <v>423.75</v>
      </c>
      <c r="K16" s="117"/>
      <c r="L16" s="79">
        <f t="shared" ref="L16:L21" si="8">M16-R16</f>
        <v>0</v>
      </c>
      <c r="M16" s="116">
        <v>500</v>
      </c>
      <c r="N16" s="86">
        <f t="shared" ref="N16:N21" si="9">M16/12*10</f>
        <v>416.66666666666663</v>
      </c>
      <c r="O16" s="117">
        <v>0</v>
      </c>
      <c r="P16" s="86">
        <f t="shared" ref="P16:P21" si="10">N16-O16</f>
        <v>416.66666666666663</v>
      </c>
      <c r="Q16" s="117"/>
      <c r="R16" s="116">
        <v>500</v>
      </c>
      <c r="S16" s="86">
        <f t="shared" ref="S16:S21" si="11">R16/12*10</f>
        <v>416.66666666666663</v>
      </c>
      <c r="T16" s="117">
        <v>462.5</v>
      </c>
      <c r="U16" s="81">
        <f t="shared" ref="U16:U21" si="12">S16-T16</f>
        <v>-45.833333333333371</v>
      </c>
      <c r="W16" s="148"/>
    </row>
    <row r="17" spans="1:24" x14ac:dyDescent="0.25">
      <c r="A17" s="50" t="s">
        <v>16</v>
      </c>
      <c r="B17" s="83" t="s">
        <v>167</v>
      </c>
      <c r="C17" s="84">
        <f t="shared" si="4"/>
        <v>-0.85000000000000142</v>
      </c>
      <c r="D17" s="329">
        <v>50</v>
      </c>
      <c r="E17" s="308"/>
      <c r="F17" s="84">
        <f t="shared" si="5"/>
        <v>0.85000000000000142</v>
      </c>
      <c r="G17" s="85">
        <f>M17+(M17*$C$33)</f>
        <v>50.85</v>
      </c>
      <c r="H17" s="86">
        <f t="shared" si="6"/>
        <v>42.375</v>
      </c>
      <c r="I17" s="345">
        <v>0</v>
      </c>
      <c r="J17" s="86">
        <f t="shared" si="7"/>
        <v>42.375</v>
      </c>
      <c r="K17" s="117"/>
      <c r="L17" s="79">
        <f t="shared" si="8"/>
        <v>0</v>
      </c>
      <c r="M17" s="116">
        <v>50</v>
      </c>
      <c r="N17" s="86">
        <f t="shared" si="9"/>
        <v>41.666666666666671</v>
      </c>
      <c r="O17" s="117">
        <v>0</v>
      </c>
      <c r="P17" s="86">
        <f t="shared" si="10"/>
        <v>41.666666666666671</v>
      </c>
      <c r="Q17" s="117"/>
      <c r="R17" s="116">
        <v>50</v>
      </c>
      <c r="S17" s="86">
        <f t="shared" si="11"/>
        <v>41.666666666666671</v>
      </c>
      <c r="T17" s="117">
        <v>5</v>
      </c>
      <c r="U17" s="81">
        <f t="shared" si="12"/>
        <v>36.666666666666671</v>
      </c>
      <c r="W17" s="37"/>
    </row>
    <row r="18" spans="1:24" x14ac:dyDescent="0.25">
      <c r="A18" s="50" t="s">
        <v>12</v>
      </c>
      <c r="B18" s="83" t="s">
        <v>167</v>
      </c>
      <c r="C18" s="84">
        <f t="shared" si="4"/>
        <v>-1.7000000000000028</v>
      </c>
      <c r="D18" s="329">
        <v>100</v>
      </c>
      <c r="E18" s="308"/>
      <c r="F18" s="84">
        <f t="shared" si="5"/>
        <v>1.7000000000000028</v>
      </c>
      <c r="G18" s="85">
        <f>M18+(M18*$C$33)</f>
        <v>101.7</v>
      </c>
      <c r="H18" s="86">
        <f t="shared" si="6"/>
        <v>84.75</v>
      </c>
      <c r="I18" s="345">
        <v>282</v>
      </c>
      <c r="J18" s="86">
        <f t="shared" si="7"/>
        <v>-197.25</v>
      </c>
      <c r="K18" s="117"/>
      <c r="L18" s="79">
        <f t="shared" si="8"/>
        <v>47</v>
      </c>
      <c r="M18" s="116">
        <v>100</v>
      </c>
      <c r="N18" s="86">
        <f t="shared" si="9"/>
        <v>83.333333333333343</v>
      </c>
      <c r="O18" s="117">
        <v>90</v>
      </c>
      <c r="P18" s="86">
        <f t="shared" si="10"/>
        <v>-6.6666666666666572</v>
      </c>
      <c r="Q18" s="117"/>
      <c r="R18" s="116">
        <v>53</v>
      </c>
      <c r="S18" s="86">
        <f t="shared" si="11"/>
        <v>44.166666666666671</v>
      </c>
      <c r="T18" s="117">
        <v>90</v>
      </c>
      <c r="U18" s="81">
        <f t="shared" si="12"/>
        <v>-45.833333333333329</v>
      </c>
      <c r="W18" s="37"/>
    </row>
    <row r="19" spans="1:24" x14ac:dyDescent="0.25">
      <c r="A19" s="50" t="s">
        <v>41</v>
      </c>
      <c r="B19" s="83" t="s">
        <v>167</v>
      </c>
      <c r="C19" s="84">
        <f t="shared" si="4"/>
        <v>0.14999999999999858</v>
      </c>
      <c r="D19" s="329">
        <v>51</v>
      </c>
      <c r="E19" s="308"/>
      <c r="F19" s="84">
        <f t="shared" si="5"/>
        <v>0.85000000000000142</v>
      </c>
      <c r="G19" s="85">
        <f>M19+(M19*$C$33)</f>
        <v>50.85</v>
      </c>
      <c r="H19" s="86">
        <f t="shared" si="6"/>
        <v>42.375</v>
      </c>
      <c r="I19" s="345">
        <v>50</v>
      </c>
      <c r="J19" s="86">
        <f t="shared" si="7"/>
        <v>-7.625</v>
      </c>
      <c r="K19" s="117"/>
      <c r="L19" s="79">
        <f t="shared" si="8"/>
        <v>0</v>
      </c>
      <c r="M19" s="116">
        <v>50</v>
      </c>
      <c r="N19" s="86">
        <f t="shared" si="9"/>
        <v>41.666666666666671</v>
      </c>
      <c r="O19" s="117">
        <v>30</v>
      </c>
      <c r="P19" s="86">
        <f t="shared" si="10"/>
        <v>11.666666666666671</v>
      </c>
      <c r="Q19" s="117"/>
      <c r="R19" s="116">
        <v>50</v>
      </c>
      <c r="S19" s="86">
        <f t="shared" si="11"/>
        <v>41.666666666666671</v>
      </c>
      <c r="T19" s="117">
        <v>135</v>
      </c>
      <c r="U19" s="81">
        <f t="shared" si="12"/>
        <v>-93.333333333333329</v>
      </c>
      <c r="W19" s="190"/>
    </row>
    <row r="20" spans="1:24" x14ac:dyDescent="0.25">
      <c r="A20" s="50" t="s">
        <v>125</v>
      </c>
      <c r="C20" s="84">
        <f t="shared" si="4"/>
        <v>0</v>
      </c>
      <c r="D20" s="328">
        <v>0</v>
      </c>
      <c r="F20" s="84">
        <f t="shared" si="5"/>
        <v>-1000</v>
      </c>
      <c r="G20" s="116">
        <v>0</v>
      </c>
      <c r="H20" s="86">
        <f t="shared" si="6"/>
        <v>0</v>
      </c>
      <c r="I20" s="345">
        <v>0</v>
      </c>
      <c r="J20" s="86">
        <f t="shared" si="7"/>
        <v>0</v>
      </c>
      <c r="K20" s="117"/>
      <c r="L20" s="79">
        <f t="shared" si="8"/>
        <v>1000</v>
      </c>
      <c r="M20" s="116">
        <v>1000</v>
      </c>
      <c r="N20" s="86">
        <f t="shared" si="9"/>
        <v>833.33333333333326</v>
      </c>
      <c r="O20" s="117">
        <v>0</v>
      </c>
      <c r="P20" s="86">
        <f t="shared" si="10"/>
        <v>833.33333333333326</v>
      </c>
      <c r="Q20" s="117"/>
      <c r="R20" s="116">
        <v>0</v>
      </c>
      <c r="S20" s="86">
        <f t="shared" si="11"/>
        <v>0</v>
      </c>
      <c r="T20" s="117">
        <v>3555.8</v>
      </c>
      <c r="U20" s="81">
        <f t="shared" si="12"/>
        <v>-3555.8</v>
      </c>
      <c r="W20" s="48"/>
    </row>
    <row r="21" spans="1:24" x14ac:dyDescent="0.25">
      <c r="A21" s="50" t="s">
        <v>156</v>
      </c>
      <c r="C21" s="84">
        <f t="shared" si="4"/>
        <v>-171.6825396825397</v>
      </c>
      <c r="D21" s="328">
        <v>0</v>
      </c>
      <c r="F21" s="84">
        <f t="shared" si="5"/>
        <v>171.6825396825397</v>
      </c>
      <c r="G21" s="116">
        <f>Reserves!X12</f>
        <v>171.6825396825397</v>
      </c>
      <c r="H21" s="86">
        <f t="shared" si="6"/>
        <v>143.06878306878309</v>
      </c>
      <c r="I21" s="345">
        <v>262</v>
      </c>
      <c r="J21" s="86">
        <f t="shared" si="7"/>
        <v>-118.93121693121691</v>
      </c>
      <c r="K21" s="117"/>
      <c r="L21" s="79">
        <f t="shared" si="8"/>
        <v>0</v>
      </c>
      <c r="M21" s="116">
        <v>0</v>
      </c>
      <c r="N21" s="86">
        <f t="shared" si="9"/>
        <v>0</v>
      </c>
      <c r="O21" s="117">
        <v>0</v>
      </c>
      <c r="P21" s="86">
        <f t="shared" si="10"/>
        <v>0</v>
      </c>
      <c r="Q21" s="117"/>
      <c r="R21" s="116">
        <v>0</v>
      </c>
      <c r="S21" s="86">
        <f t="shared" si="11"/>
        <v>0</v>
      </c>
      <c r="T21" s="117">
        <v>0</v>
      </c>
      <c r="U21" s="81">
        <f t="shared" si="12"/>
        <v>0</v>
      </c>
      <c r="W21" s="37"/>
    </row>
    <row r="22" spans="1:24" x14ac:dyDescent="0.25">
      <c r="A22" s="50"/>
      <c r="C22" s="115"/>
      <c r="F22" s="115"/>
      <c r="G22" s="116"/>
      <c r="H22" s="117"/>
      <c r="I22" s="117"/>
      <c r="J22" s="117"/>
      <c r="K22" s="117"/>
      <c r="L22" s="115"/>
      <c r="M22" s="116"/>
      <c r="N22" s="117"/>
      <c r="O22" s="117"/>
      <c r="P22" s="117"/>
      <c r="Q22" s="117"/>
      <c r="R22" s="116"/>
      <c r="S22" s="86"/>
      <c r="T22" s="117"/>
      <c r="U22" s="81"/>
      <c r="W22" s="37"/>
    </row>
    <row r="23" spans="1:24" s="132" customFormat="1" ht="15.75" thickBot="1" x14ac:dyDescent="0.3">
      <c r="A23" s="138" t="s">
        <v>171</v>
      </c>
      <c r="C23" s="139">
        <f>SUM(C15:C22)</f>
        <v>-432.58253968253973</v>
      </c>
      <c r="D23" s="140">
        <f>SUM(D15:D22)</f>
        <v>451</v>
      </c>
      <c r="E23" s="321"/>
      <c r="F23" s="139">
        <f>SUM(F15:F22)</f>
        <v>-816.41746031746038</v>
      </c>
      <c r="G23" s="140">
        <f>SUM(G15:G22)</f>
        <v>883.58253968253985</v>
      </c>
      <c r="H23" s="138">
        <f>SUM(H15:H22)</f>
        <v>736.31878306878309</v>
      </c>
      <c r="I23" s="138">
        <f>SUM(I15:I22)</f>
        <v>594</v>
      </c>
      <c r="J23" s="138">
        <f>SUM(J15:J22)</f>
        <v>142.31878306878309</v>
      </c>
      <c r="K23" s="141"/>
      <c r="L23" s="139">
        <f>SUM(L15:L22)</f>
        <v>1047</v>
      </c>
      <c r="M23" s="140">
        <f>SUM(M15:M22)</f>
        <v>1700</v>
      </c>
      <c r="N23" s="138">
        <f>SUM(N15:N22)</f>
        <v>1416.6666666666665</v>
      </c>
      <c r="O23" s="138">
        <f>SUM(O15:O22)</f>
        <v>120</v>
      </c>
      <c r="P23" s="138">
        <f>SUM(P15:P22)</f>
        <v>1296.6666666666665</v>
      </c>
      <c r="Q23" s="141"/>
      <c r="R23" s="140">
        <f>SUM(R15:R22)</f>
        <v>653</v>
      </c>
      <c r="S23" s="138">
        <f>SUM(S15:S22)</f>
        <v>544.16666666666663</v>
      </c>
      <c r="T23" s="138">
        <f>SUM(T15:T22)</f>
        <v>4248.3</v>
      </c>
      <c r="U23" s="138">
        <f>SUM(U15:U22)</f>
        <v>-3704.1333333333337</v>
      </c>
      <c r="W23" s="45"/>
    </row>
    <row r="24" spans="1:24" x14ac:dyDescent="0.25">
      <c r="A24" s="35"/>
      <c r="C24" s="115"/>
      <c r="F24" s="115"/>
      <c r="G24" s="116"/>
      <c r="H24" s="117"/>
      <c r="I24" s="117"/>
      <c r="J24" s="117"/>
      <c r="K24" s="117"/>
      <c r="L24" s="115"/>
      <c r="M24" s="116"/>
      <c r="N24" s="117"/>
      <c r="O24" s="117"/>
      <c r="P24" s="117"/>
      <c r="Q24" s="117"/>
      <c r="R24" s="124"/>
      <c r="S24" s="125"/>
      <c r="T24" s="125"/>
      <c r="U24" s="117"/>
      <c r="W24" s="37"/>
    </row>
    <row r="25" spans="1:24" x14ac:dyDescent="0.25">
      <c r="A25" s="50" t="s">
        <v>90</v>
      </c>
      <c r="C25" s="84">
        <f>D25-G25</f>
        <v>0</v>
      </c>
      <c r="D25" s="331">
        <f>G25</f>
        <v>670</v>
      </c>
      <c r="E25" s="305"/>
      <c r="F25" s="84">
        <f>G25-M25</f>
        <v>0</v>
      </c>
      <c r="G25" s="116">
        <v>670</v>
      </c>
      <c r="H25" s="86">
        <f>G25/12*10</f>
        <v>558.33333333333337</v>
      </c>
      <c r="I25" s="345"/>
      <c r="J25" s="86">
        <f>H25-I25</f>
        <v>558.33333333333337</v>
      </c>
      <c r="K25" s="117"/>
      <c r="L25" s="79">
        <f t="shared" ref="L25" si="13">M25-R25</f>
        <v>0</v>
      </c>
      <c r="M25" s="116">
        <v>670</v>
      </c>
      <c r="N25" s="86">
        <f>M25/12*10</f>
        <v>558.33333333333337</v>
      </c>
      <c r="O25" s="117">
        <v>0</v>
      </c>
      <c r="P25" s="86">
        <f>N25-O25</f>
        <v>558.33333333333337</v>
      </c>
      <c r="Q25" s="117"/>
      <c r="R25" s="116">
        <v>670</v>
      </c>
      <c r="S25" s="86">
        <f>R25/12*10</f>
        <v>558.33333333333337</v>
      </c>
      <c r="T25" s="117">
        <v>0</v>
      </c>
      <c r="U25" s="81">
        <f>S25-T25</f>
        <v>558.33333333333337</v>
      </c>
      <c r="W25" s="37"/>
    </row>
    <row r="26" spans="1:24" x14ac:dyDescent="0.25">
      <c r="A26" s="50"/>
      <c r="C26" s="115"/>
      <c r="F26" s="115"/>
      <c r="G26" s="116"/>
      <c r="H26" s="117"/>
      <c r="I26" s="117"/>
      <c r="J26" s="117"/>
      <c r="K26" s="117"/>
      <c r="L26" s="115"/>
      <c r="M26" s="116"/>
      <c r="N26" s="117"/>
      <c r="O26" s="117"/>
      <c r="P26" s="117"/>
      <c r="Q26" s="117"/>
      <c r="R26" s="116"/>
      <c r="S26" s="86"/>
      <c r="T26" s="117"/>
      <c r="U26" s="81"/>
      <c r="W26" s="37"/>
    </row>
    <row r="27" spans="1:24" s="132" customFormat="1" ht="15.75" thickBot="1" x14ac:dyDescent="0.3">
      <c r="A27" s="138" t="s">
        <v>169</v>
      </c>
      <c r="C27" s="139">
        <f>C13+C23+C25</f>
        <v>-416.12253968253975</v>
      </c>
      <c r="D27" s="140">
        <f>D13+D23+D25</f>
        <v>3042</v>
      </c>
      <c r="E27" s="321"/>
      <c r="F27" s="139">
        <f>F13+F23+F25</f>
        <v>-431.87746031746036</v>
      </c>
      <c r="G27" s="140">
        <f>G13+G23+G25</f>
        <v>3458.1225396825398</v>
      </c>
      <c r="H27" s="138">
        <f>H13+H23+H25</f>
        <v>2881.7687830687833</v>
      </c>
      <c r="I27" s="138">
        <f>I13+I23+I25</f>
        <v>2210</v>
      </c>
      <c r="J27" s="138">
        <f>J13+J23+J25</f>
        <v>671.76878306878314</v>
      </c>
      <c r="K27" s="141"/>
      <c r="L27" s="139">
        <f>L13+L23+L25</f>
        <v>1362</v>
      </c>
      <c r="M27" s="140">
        <f>M13+M23+M25</f>
        <v>3890</v>
      </c>
      <c r="N27" s="138">
        <f>N13+N23+N25</f>
        <v>3241.6666666666665</v>
      </c>
      <c r="O27" s="138">
        <f>O13+O23+O25</f>
        <v>1689.62</v>
      </c>
      <c r="P27" s="138">
        <f>P13+P23+P25</f>
        <v>1552.0466666666666</v>
      </c>
      <c r="Q27" s="141"/>
      <c r="R27" s="140">
        <f>R13+R23+R25</f>
        <v>2528</v>
      </c>
      <c r="S27" s="138">
        <f>S13+S23+S25</f>
        <v>2106.666666666667</v>
      </c>
      <c r="T27" s="138">
        <f>T13+T23+T25</f>
        <v>5171.3500000000004</v>
      </c>
      <c r="U27" s="138">
        <f>U13+U23+U25</f>
        <v>-3064.6833333333334</v>
      </c>
      <c r="W27" s="133"/>
    </row>
    <row r="28" spans="1:24" x14ac:dyDescent="0.25">
      <c r="C28" s="115"/>
      <c r="F28" s="115"/>
      <c r="G28" s="116"/>
      <c r="H28" s="117"/>
      <c r="I28" s="117"/>
      <c r="J28" s="117"/>
      <c r="K28" s="117"/>
      <c r="L28" s="115"/>
      <c r="M28" s="116"/>
      <c r="N28" s="117"/>
      <c r="O28" s="117"/>
      <c r="P28" s="117"/>
      <c r="Q28" s="117"/>
      <c r="R28" s="124"/>
      <c r="S28" s="125"/>
      <c r="T28" s="125"/>
      <c r="U28" s="117"/>
    </row>
    <row r="29" spans="1:24" x14ac:dyDescent="0.25">
      <c r="A29" s="35" t="s">
        <v>101</v>
      </c>
      <c r="C29" s="84">
        <f>D29-G29</f>
        <v>160</v>
      </c>
      <c r="D29" s="363">
        <f>Reserves!F12</f>
        <v>2720</v>
      </c>
      <c r="E29" s="305"/>
      <c r="F29" s="84">
        <f>G29-M29</f>
        <v>-640</v>
      </c>
      <c r="G29" s="116">
        <v>2560</v>
      </c>
      <c r="H29" s="86">
        <f>G29/12*10</f>
        <v>2133.3333333333335</v>
      </c>
      <c r="I29" s="345"/>
      <c r="J29" s="86">
        <f>H29-I29</f>
        <v>2133.3333333333335</v>
      </c>
      <c r="K29" s="117"/>
      <c r="L29" s="79">
        <f t="shared" ref="L29" si="14">M29-R29</f>
        <v>0</v>
      </c>
      <c r="M29" s="116">
        <v>3200</v>
      </c>
      <c r="N29" s="86">
        <f>M29/12*10</f>
        <v>2666.666666666667</v>
      </c>
      <c r="O29" s="117">
        <v>0</v>
      </c>
      <c r="P29" s="86">
        <f>N29-O29</f>
        <v>2666.666666666667</v>
      </c>
      <c r="Q29" s="117"/>
      <c r="R29" s="116">
        <v>3200</v>
      </c>
      <c r="S29" s="86">
        <f>R29/12*10</f>
        <v>2666.666666666667</v>
      </c>
      <c r="T29" s="117">
        <v>2025</v>
      </c>
      <c r="U29" s="81">
        <f>S29-T29</f>
        <v>641.66666666666697</v>
      </c>
    </row>
    <row r="30" spans="1:24" s="132" customFormat="1" x14ac:dyDescent="0.25">
      <c r="A30" s="44"/>
      <c r="C30" s="188"/>
      <c r="D30" s="311"/>
      <c r="E30" s="311"/>
      <c r="F30" s="188"/>
      <c r="G30" s="189"/>
      <c r="H30" s="141"/>
      <c r="I30" s="141"/>
      <c r="J30" s="141"/>
      <c r="K30" s="141"/>
      <c r="L30" s="188"/>
      <c r="M30" s="189"/>
      <c r="N30" s="141"/>
      <c r="O30" s="141"/>
      <c r="P30" s="141"/>
      <c r="Q30" s="141"/>
      <c r="R30" s="189"/>
      <c r="S30" s="108"/>
      <c r="T30" s="141"/>
      <c r="U30" s="90"/>
    </row>
    <row r="31" spans="1:24" s="132" customFormat="1" ht="15.75" thickBot="1" x14ac:dyDescent="0.3">
      <c r="A31" s="138" t="s">
        <v>1</v>
      </c>
      <c r="C31" s="128">
        <f t="shared" ref="C31" si="15">SUM(C27:C30)</f>
        <v>-256.12253968253975</v>
      </c>
      <c r="D31" s="129">
        <f t="shared" ref="D31" si="16">SUM(D27:D30)</f>
        <v>5762</v>
      </c>
      <c r="E31" s="322"/>
      <c r="F31" s="128">
        <f>SUM(F27:F30)</f>
        <v>-1071.8774603174604</v>
      </c>
      <c r="G31" s="129">
        <f>SUM(G27:G30)</f>
        <v>6018.1225396825394</v>
      </c>
      <c r="H31" s="130">
        <f t="shared" ref="H31:J31" si="17">SUM(H27:H30)</f>
        <v>5015.1021164021167</v>
      </c>
      <c r="I31" s="130">
        <f t="shared" si="17"/>
        <v>2210</v>
      </c>
      <c r="J31" s="130">
        <f t="shared" si="17"/>
        <v>2805.1021164021167</v>
      </c>
      <c r="K31" s="141"/>
      <c r="L31" s="128">
        <f t="shared" ref="L31:P31" si="18">SUM(L27:L30)</f>
        <v>1362</v>
      </c>
      <c r="M31" s="129">
        <f t="shared" si="18"/>
        <v>7090</v>
      </c>
      <c r="N31" s="130">
        <f t="shared" si="18"/>
        <v>5908.3333333333339</v>
      </c>
      <c r="O31" s="130">
        <f t="shared" si="18"/>
        <v>1689.62</v>
      </c>
      <c r="P31" s="130">
        <f t="shared" si="18"/>
        <v>4218.7133333333331</v>
      </c>
      <c r="Q31" s="141"/>
      <c r="R31" s="129">
        <f>SUM(R27:R30)</f>
        <v>5728</v>
      </c>
      <c r="S31" s="130">
        <f t="shared" ref="S31:U31" si="19">SUM(S27:S30)</f>
        <v>4773.3333333333339</v>
      </c>
      <c r="T31" s="130">
        <f t="shared" si="19"/>
        <v>7196.35</v>
      </c>
      <c r="U31" s="130">
        <f t="shared" si="19"/>
        <v>-2423.0166666666664</v>
      </c>
      <c r="W31" s="158">
        <f>SUM(B31:V31)</f>
        <v>56025.660105820105</v>
      </c>
      <c r="X31" s="159" t="s">
        <v>174</v>
      </c>
    </row>
    <row r="33" spans="1:9" x14ac:dyDescent="0.25">
      <c r="A33" s="5" t="s">
        <v>166</v>
      </c>
      <c r="B33" s="5"/>
      <c r="C33" s="100">
        <f>Summary!$C$25</f>
        <v>1.7000000000000001E-2</v>
      </c>
      <c r="D33" s="306"/>
      <c r="E33" s="306"/>
      <c r="F33" s="306"/>
      <c r="G33" s="306"/>
      <c r="H33" s="306"/>
    </row>
    <row r="35" spans="1:9" x14ac:dyDescent="0.25">
      <c r="A35" s="14" t="s">
        <v>98</v>
      </c>
      <c r="B35" s="185"/>
      <c r="C35" s="295"/>
      <c r="D35" s="306"/>
      <c r="E35" s="306"/>
      <c r="F35" s="306"/>
      <c r="G35" s="306"/>
      <c r="H35" s="306"/>
      <c r="I35" s="185"/>
    </row>
    <row r="36" spans="1:9" ht="30" customHeight="1" x14ac:dyDescent="0.25">
      <c r="A36" s="432" t="s">
        <v>352</v>
      </c>
      <c r="B36" s="373"/>
      <c r="C36" s="373"/>
      <c r="D36" s="373"/>
      <c r="E36" s="373"/>
      <c r="F36" s="373"/>
      <c r="G36" s="373"/>
      <c r="H36" s="373"/>
      <c r="I36" s="373"/>
    </row>
    <row r="37" spans="1:9" x14ac:dyDescent="0.25">
      <c r="A37" s="32" t="s">
        <v>215</v>
      </c>
    </row>
    <row r="38" spans="1:9" ht="40.5" customHeight="1" x14ac:dyDescent="0.25">
      <c r="A38" s="434"/>
      <c r="B38" s="435"/>
      <c r="C38" s="435"/>
      <c r="D38" s="435"/>
      <c r="E38" s="435"/>
      <c r="F38" s="435"/>
      <c r="G38" s="435"/>
      <c r="H38" s="435"/>
      <c r="I38" s="435"/>
    </row>
    <row r="40" spans="1:9" ht="18.75" x14ac:dyDescent="0.25">
      <c r="A40" s="351" t="s">
        <v>267</v>
      </c>
      <c r="B40" s="352"/>
      <c r="C40" s="353" t="s">
        <v>236</v>
      </c>
      <c r="D40" s="354" t="s">
        <v>237</v>
      </c>
      <c r="F40" s="356" t="s">
        <v>268</v>
      </c>
    </row>
    <row r="41" spans="1:9" x14ac:dyDescent="0.25">
      <c r="A41" s="236" t="s">
        <v>300</v>
      </c>
      <c r="B41" s="237"/>
      <c r="C41" s="239"/>
      <c r="D41" s="239"/>
    </row>
    <row r="42" spans="1:9" x14ac:dyDescent="0.25">
      <c r="A42" s="192"/>
      <c r="B42" s="237"/>
      <c r="C42" s="239"/>
      <c r="D42" s="239"/>
    </row>
    <row r="43" spans="1:9" x14ac:dyDescent="0.25">
      <c r="A43" s="192"/>
      <c r="B43" s="237"/>
      <c r="C43" s="238"/>
      <c r="D43" s="239"/>
    </row>
    <row r="44" spans="1:9" x14ac:dyDescent="0.25">
      <c r="A44" s="192"/>
      <c r="B44" s="237"/>
      <c r="C44" s="238"/>
      <c r="D44" s="239"/>
    </row>
    <row r="45" spans="1:9" x14ac:dyDescent="0.25">
      <c r="A45" s="194"/>
      <c r="B45" s="193"/>
      <c r="C45" s="191"/>
      <c r="D45" s="191"/>
    </row>
    <row r="46" spans="1:9" x14ac:dyDescent="0.25">
      <c r="A46" s="194"/>
      <c r="B46" s="193"/>
      <c r="C46" s="191"/>
      <c r="D46" s="191"/>
    </row>
    <row r="47" spans="1:9" x14ac:dyDescent="0.25">
      <c r="A47" s="194"/>
      <c r="B47" s="193"/>
      <c r="C47" s="191"/>
      <c r="D47" s="191"/>
    </row>
    <row r="48" spans="1:9" x14ac:dyDescent="0.25">
      <c r="A48" s="194"/>
      <c r="B48" s="193"/>
      <c r="C48" s="191"/>
      <c r="D48" s="191"/>
    </row>
    <row r="49" spans="1:6" x14ac:dyDescent="0.25">
      <c r="A49" s="194"/>
      <c r="B49" s="193"/>
      <c r="C49" s="191"/>
      <c r="D49" s="191"/>
    </row>
    <row r="50" spans="1:6" x14ac:dyDescent="0.25">
      <c r="A50" s="221"/>
      <c r="B50" s="237"/>
      <c r="C50" s="238"/>
      <c r="D50" s="238"/>
    </row>
    <row r="51" spans="1:6" x14ac:dyDescent="0.25">
      <c r="A51" s="240" t="s">
        <v>201</v>
      </c>
      <c r="B51" s="241"/>
      <c r="C51" s="242">
        <f>SUM(C41:C50)</f>
        <v>0</v>
      </c>
      <c r="D51" s="242">
        <f>SUM(D41:D50)</f>
        <v>0</v>
      </c>
    </row>
    <row r="52" spans="1:6" x14ac:dyDescent="0.25">
      <c r="A52" s="295"/>
      <c r="B52" s="226"/>
      <c r="C52" s="226"/>
      <c r="D52" s="303"/>
    </row>
    <row r="53" spans="1:6" ht="30" customHeight="1" x14ac:dyDescent="0.25">
      <c r="A53" s="414"/>
      <c r="B53" s="415"/>
      <c r="C53" s="415"/>
      <c r="D53" s="415"/>
      <c r="E53" s="425"/>
      <c r="F53" s="425"/>
    </row>
    <row r="54" spans="1:6" ht="30" customHeight="1" x14ac:dyDescent="0.25">
      <c r="A54" s="414"/>
      <c r="B54" s="415"/>
      <c r="C54" s="415"/>
      <c r="D54" s="415"/>
      <c r="E54" s="425"/>
      <c r="F54" s="425"/>
    </row>
    <row r="55" spans="1:6" ht="30" customHeight="1" x14ac:dyDescent="0.25">
      <c r="A55" s="414"/>
      <c r="B55" s="415"/>
      <c r="C55" s="415"/>
      <c r="D55" s="415"/>
      <c r="E55" s="425"/>
      <c r="F55" s="425"/>
    </row>
  </sheetData>
  <mergeCells count="19">
    <mergeCell ref="L3:P3"/>
    <mergeCell ref="A36:I36"/>
    <mergeCell ref="A38:I38"/>
    <mergeCell ref="R3:U3"/>
    <mergeCell ref="F4:F5"/>
    <mergeCell ref="L4:L5"/>
    <mergeCell ref="M4:N4"/>
    <mergeCell ref="R4:S4"/>
    <mergeCell ref="N5:P5"/>
    <mergeCell ref="S5:U5"/>
    <mergeCell ref="C3:D3"/>
    <mergeCell ref="C4:C5"/>
    <mergeCell ref="D4:D5"/>
    <mergeCell ref="G4:H4"/>
    <mergeCell ref="A53:F53"/>
    <mergeCell ref="A54:F54"/>
    <mergeCell ref="A55:F55"/>
    <mergeCell ref="H5:J5"/>
    <mergeCell ref="F3:J3"/>
  </mergeCells>
  <pageMargins left="0.7" right="0.7" top="0.75" bottom="0.75" header="0.3" footer="0.3"/>
  <pageSetup paperSize="9" scale="84" orientation="landscape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A57"/>
  <sheetViews>
    <sheetView showGridLines="0" zoomScale="80" zoomScaleNormal="80" workbookViewId="0">
      <pane ySplit="5" topLeftCell="A54" activePane="bottomLeft" state="frozen"/>
      <selection pane="bottomLeft" activeCell="D38" sqref="D38"/>
    </sheetView>
  </sheetViews>
  <sheetFormatPr defaultColWidth="9.140625" defaultRowHeight="15" x14ac:dyDescent="0.25"/>
  <cols>
    <col min="1" max="1" width="40.7109375" style="32" customWidth="1"/>
    <col min="2" max="2" width="2.7109375" style="32" customWidth="1"/>
    <col min="3" max="3" width="11.7109375" style="32" customWidth="1"/>
    <col min="4" max="4" width="11.7109375" style="34" customWidth="1"/>
    <col min="5" max="5" width="2.7109375" style="34" customWidth="1"/>
    <col min="6" max="8" width="11.7109375" style="34" customWidth="1"/>
    <col min="9" max="10" width="11.7109375" style="32" customWidth="1"/>
    <col min="11" max="11" width="2.7109375" style="32" customWidth="1"/>
    <col min="12" max="16" width="11.7109375" style="32" customWidth="1"/>
    <col min="17" max="17" width="2.7109375" style="32" customWidth="1"/>
    <col min="18" max="21" width="11.7109375" style="32" customWidth="1"/>
    <col min="22" max="22" width="2.7109375" style="32" customWidth="1"/>
    <col min="23" max="16384" width="9.140625" style="32"/>
  </cols>
  <sheetData>
    <row r="1" spans="1:27" ht="21" x14ac:dyDescent="0.25">
      <c r="A1" s="53" t="s">
        <v>126</v>
      </c>
      <c r="B1" s="54"/>
      <c r="C1" s="54"/>
      <c r="D1" s="301"/>
      <c r="E1" s="301"/>
      <c r="F1" s="301"/>
      <c r="G1" s="301"/>
      <c r="H1" s="301"/>
      <c r="I1" s="55"/>
      <c r="J1" s="55"/>
      <c r="K1" s="55"/>
      <c r="L1" s="55"/>
      <c r="M1" s="56" t="s">
        <v>242</v>
      </c>
      <c r="N1" s="198"/>
      <c r="O1" s="195">
        <v>8</v>
      </c>
      <c r="P1" s="198"/>
      <c r="Q1" s="198"/>
      <c r="R1" s="198"/>
      <c r="S1" s="198"/>
      <c r="T1" s="198"/>
      <c r="U1" s="198"/>
      <c r="V1" s="198"/>
      <c r="W1" s="198"/>
    </row>
    <row r="2" spans="1:27" x14ac:dyDescent="0.25">
      <c r="B2" s="55"/>
      <c r="C2" s="55"/>
      <c r="D2" s="302"/>
      <c r="E2" s="302"/>
      <c r="F2" s="302"/>
      <c r="G2" s="302"/>
      <c r="H2" s="302"/>
      <c r="I2" s="55"/>
      <c r="J2" s="55"/>
      <c r="K2" s="55"/>
      <c r="L2" s="55"/>
      <c r="M2" s="54"/>
      <c r="N2" s="295"/>
      <c r="O2" s="295"/>
      <c r="P2" s="295"/>
      <c r="Q2" s="295"/>
      <c r="R2" s="295"/>
      <c r="S2" s="295"/>
      <c r="T2" s="295"/>
      <c r="U2" s="295"/>
      <c r="V2" s="295"/>
      <c r="W2" s="295"/>
    </row>
    <row r="3" spans="1:27" s="132" customFormat="1" ht="21" x14ac:dyDescent="0.25">
      <c r="A3" s="56" t="s">
        <v>59</v>
      </c>
      <c r="B3" s="334"/>
      <c r="C3" s="403">
        <v>2020</v>
      </c>
      <c r="D3" s="404"/>
      <c r="E3" s="335"/>
      <c r="F3" s="403">
        <v>2019</v>
      </c>
      <c r="G3" s="405"/>
      <c r="H3" s="423"/>
      <c r="I3" s="423"/>
      <c r="J3" s="424"/>
      <c r="K3" s="335"/>
      <c r="L3" s="403">
        <v>2018</v>
      </c>
      <c r="M3" s="423"/>
      <c r="N3" s="423"/>
      <c r="O3" s="423"/>
      <c r="P3" s="424"/>
      <c r="Q3" s="334"/>
      <c r="R3" s="403">
        <v>2017</v>
      </c>
      <c r="S3" s="405"/>
      <c r="T3" s="405"/>
      <c r="U3" s="404"/>
      <c r="V3" s="335"/>
      <c r="W3" s="337" t="s">
        <v>98</v>
      </c>
    </row>
    <row r="4" spans="1:27" x14ac:dyDescent="0.25">
      <c r="A4" s="23"/>
      <c r="B4" s="23"/>
      <c r="C4" s="420" t="s">
        <v>261</v>
      </c>
      <c r="D4" s="401" t="s">
        <v>44</v>
      </c>
      <c r="E4" s="290"/>
      <c r="F4" s="420" t="s">
        <v>165</v>
      </c>
      <c r="G4" s="419" t="s">
        <v>163</v>
      </c>
      <c r="H4" s="419"/>
      <c r="I4" s="292" t="s">
        <v>118</v>
      </c>
      <c r="J4" s="292" t="s">
        <v>97</v>
      </c>
      <c r="K4" s="292"/>
      <c r="L4" s="420" t="s">
        <v>164</v>
      </c>
      <c r="M4" s="409" t="s">
        <v>163</v>
      </c>
      <c r="N4" s="409"/>
      <c r="O4" s="196" t="s">
        <v>118</v>
      </c>
      <c r="P4" s="196" t="s">
        <v>97</v>
      </c>
      <c r="Q4" s="23"/>
      <c r="R4" s="409" t="s">
        <v>163</v>
      </c>
      <c r="S4" s="422"/>
      <c r="T4" s="196" t="s">
        <v>118</v>
      </c>
      <c r="U4" s="196" t="s">
        <v>97</v>
      </c>
      <c r="V4" s="196"/>
      <c r="W4" s="25"/>
    </row>
    <row r="5" spans="1:27" x14ac:dyDescent="0.25">
      <c r="A5" s="23"/>
      <c r="B5" s="23"/>
      <c r="C5" s="431"/>
      <c r="D5" s="402"/>
      <c r="E5" s="291"/>
      <c r="F5" s="431"/>
      <c r="G5" s="26" t="s">
        <v>161</v>
      </c>
      <c r="H5" s="409" t="s">
        <v>162</v>
      </c>
      <c r="I5" s="408"/>
      <c r="J5" s="408"/>
      <c r="K5" s="293"/>
      <c r="L5" s="421"/>
      <c r="M5" s="26" t="s">
        <v>161</v>
      </c>
      <c r="N5" s="409" t="s">
        <v>162</v>
      </c>
      <c r="O5" s="408"/>
      <c r="P5" s="408"/>
      <c r="Q5" s="23"/>
      <c r="R5" s="26" t="s">
        <v>161</v>
      </c>
      <c r="S5" s="409" t="s">
        <v>162</v>
      </c>
      <c r="T5" s="408"/>
      <c r="U5" s="408"/>
      <c r="V5" s="196"/>
      <c r="W5" s="25"/>
    </row>
    <row r="6" spans="1:27" x14ac:dyDescent="0.25">
      <c r="A6" s="23"/>
      <c r="B6" s="23"/>
      <c r="C6" s="348"/>
      <c r="D6" s="291"/>
      <c r="E6" s="291"/>
      <c r="F6" s="348"/>
      <c r="G6" s="26"/>
      <c r="H6" s="294"/>
      <c r="I6" s="293"/>
      <c r="J6" s="293"/>
      <c r="K6" s="293"/>
      <c r="L6" s="349"/>
      <c r="M6" s="26"/>
      <c r="N6" s="294"/>
      <c r="O6" s="293"/>
      <c r="P6" s="293"/>
      <c r="Q6" s="23"/>
      <c r="R6" s="26"/>
      <c r="S6" s="294"/>
      <c r="T6" s="293"/>
      <c r="U6" s="293"/>
      <c r="V6" s="292"/>
      <c r="W6" s="25"/>
    </row>
    <row r="7" spans="1:27" ht="15.75" x14ac:dyDescent="0.25">
      <c r="A7" s="57" t="s">
        <v>20</v>
      </c>
      <c r="B7" s="57"/>
      <c r="C7" s="57"/>
      <c r="D7" s="309"/>
      <c r="E7" s="309"/>
      <c r="F7" s="61"/>
      <c r="G7" s="62"/>
      <c r="H7" s="309"/>
      <c r="J7" s="63"/>
      <c r="K7" s="63"/>
      <c r="L7" s="61"/>
      <c r="M7" s="62"/>
      <c r="N7" s="63"/>
      <c r="O7" s="63"/>
      <c r="P7" s="63"/>
      <c r="Q7" s="63"/>
      <c r="R7" s="62"/>
      <c r="S7" s="63"/>
      <c r="T7" s="63"/>
      <c r="U7" s="63"/>
      <c r="V7" s="29"/>
      <c r="W7" s="29"/>
    </row>
    <row r="8" spans="1:27" ht="15.75" x14ac:dyDescent="0.25">
      <c r="A8" s="58" t="s">
        <v>21</v>
      </c>
      <c r="B8" s="58"/>
      <c r="C8" s="59">
        <f>D8-G8</f>
        <v>112</v>
      </c>
      <c r="D8" s="342">
        <v>645</v>
      </c>
      <c r="E8" s="310"/>
      <c r="F8" s="59">
        <f>G8-M8</f>
        <v>13</v>
      </c>
      <c r="G8" s="36">
        <v>533</v>
      </c>
      <c r="H8" s="60">
        <f>G8/12*10</f>
        <v>444.16666666666663</v>
      </c>
      <c r="I8" s="346">
        <v>522</v>
      </c>
      <c r="J8" s="60">
        <f>H8-I8</f>
        <v>-77.833333333333371</v>
      </c>
      <c r="K8" s="63"/>
      <c r="L8" s="61">
        <f>M8-R8</f>
        <v>105</v>
      </c>
      <c r="M8" s="64">
        <v>520</v>
      </c>
      <c r="N8" s="60">
        <f>M8/12*10</f>
        <v>433.33333333333337</v>
      </c>
      <c r="O8" s="60">
        <v>336</v>
      </c>
      <c r="P8" s="60">
        <f>N8-O8</f>
        <v>97.333333333333371</v>
      </c>
      <c r="Q8" s="63"/>
      <c r="R8" s="37">
        <v>415</v>
      </c>
      <c r="S8" s="60">
        <f>R8/12*10</f>
        <v>345.83333333333337</v>
      </c>
      <c r="T8" s="37">
        <v>372.79</v>
      </c>
      <c r="U8" s="63">
        <f>S8-T8</f>
        <v>-26.956666666666649</v>
      </c>
      <c r="V8" s="30"/>
      <c r="W8" s="5"/>
      <c r="X8" s="5"/>
      <c r="AA8" s="19"/>
    </row>
    <row r="9" spans="1:27" ht="15.75" x14ac:dyDescent="0.25">
      <c r="A9" s="58" t="s">
        <v>14</v>
      </c>
      <c r="B9" s="58" t="s">
        <v>167</v>
      </c>
      <c r="C9" s="59">
        <f>D9-G9</f>
        <v>0</v>
      </c>
      <c r="D9" s="329">
        <f>G9+(G9*Summary!$C$25)</f>
        <v>0</v>
      </c>
      <c r="E9" s="308"/>
      <c r="F9" s="59">
        <f>G9-M9</f>
        <v>0</v>
      </c>
      <c r="G9" s="85">
        <f>M9+(M9*$C$33)</f>
        <v>0</v>
      </c>
      <c r="H9" s="174">
        <f>G9/12*10</f>
        <v>0</v>
      </c>
      <c r="I9" s="346">
        <v>0</v>
      </c>
      <c r="J9" s="60">
        <f>H9-I9</f>
        <v>0</v>
      </c>
      <c r="K9" s="63"/>
      <c r="L9" s="61">
        <f>M9-R9</f>
        <v>0</v>
      </c>
      <c r="M9" s="173">
        <v>0</v>
      </c>
      <c r="N9" s="174">
        <f>M9/12*10</f>
        <v>0</v>
      </c>
      <c r="O9" s="60">
        <v>0</v>
      </c>
      <c r="P9" s="60">
        <f>N9-O9</f>
        <v>0</v>
      </c>
      <c r="Q9" s="63"/>
      <c r="R9" s="175">
        <v>0</v>
      </c>
      <c r="S9" s="174">
        <f>R9/12*10</f>
        <v>0</v>
      </c>
      <c r="T9" s="37">
        <v>0</v>
      </c>
      <c r="U9" s="63">
        <f>S9-T9</f>
        <v>0</v>
      </c>
      <c r="V9" s="30"/>
      <c r="W9" s="186" t="s">
        <v>229</v>
      </c>
    </row>
    <row r="10" spans="1:27" ht="18" x14ac:dyDescent="0.25">
      <c r="A10" s="58" t="s">
        <v>216</v>
      </c>
      <c r="B10" s="58" t="s">
        <v>167</v>
      </c>
      <c r="C10" s="59">
        <f>D10-G10</f>
        <v>-313.75</v>
      </c>
      <c r="D10" s="329">
        <v>449</v>
      </c>
      <c r="E10" s="308"/>
      <c r="F10" s="59">
        <f>G10-M10</f>
        <v>12.75</v>
      </c>
      <c r="G10" s="85">
        <f>M10+(M10*$C$33)</f>
        <v>762.75</v>
      </c>
      <c r="H10" s="60">
        <f>G10/12*10</f>
        <v>635.625</v>
      </c>
      <c r="I10" s="346">
        <v>112</v>
      </c>
      <c r="J10" s="60">
        <f>H10-I10</f>
        <v>523.625</v>
      </c>
      <c r="K10" s="63"/>
      <c r="L10" s="61">
        <f>M10-R10</f>
        <v>250</v>
      </c>
      <c r="M10" s="64">
        <v>750</v>
      </c>
      <c r="N10" s="60">
        <f>M10/12*10</f>
        <v>625</v>
      </c>
      <c r="O10" s="60">
        <v>1696.45</v>
      </c>
      <c r="P10" s="60">
        <f>N10-O10</f>
        <v>-1071.45</v>
      </c>
      <c r="Q10" s="63"/>
      <c r="R10" s="37">
        <v>500</v>
      </c>
      <c r="S10" s="60">
        <f>R10/12*10</f>
        <v>416.66666666666663</v>
      </c>
      <c r="T10" s="37">
        <v>666.34</v>
      </c>
      <c r="U10" s="63">
        <f>S10-T10</f>
        <v>-249.6733333333334</v>
      </c>
      <c r="V10" s="30"/>
    </row>
    <row r="11" spans="1:27" ht="15.75" x14ac:dyDescent="0.25">
      <c r="A11" s="58" t="s">
        <v>155</v>
      </c>
      <c r="B11" s="58"/>
      <c r="C11" s="59">
        <f>D11-G11</f>
        <v>0</v>
      </c>
      <c r="D11" s="342">
        <v>126</v>
      </c>
      <c r="E11" s="310"/>
      <c r="F11" s="59">
        <f>G11-M11</f>
        <v>126</v>
      </c>
      <c r="G11" s="36">
        <f>105*1.2</f>
        <v>126</v>
      </c>
      <c r="H11" s="60">
        <f>G11/12*10</f>
        <v>105</v>
      </c>
      <c r="I11" s="346">
        <v>126</v>
      </c>
      <c r="J11" s="60">
        <f>H11-I11</f>
        <v>-21</v>
      </c>
      <c r="K11" s="63"/>
      <c r="L11" s="61">
        <f>M11-R11</f>
        <v>0</v>
      </c>
      <c r="M11" s="64">
        <v>0</v>
      </c>
      <c r="N11" s="60">
        <f>M11/12*10</f>
        <v>0</v>
      </c>
      <c r="O11" s="60">
        <v>0</v>
      </c>
      <c r="P11" s="60">
        <f>N11-O11</f>
        <v>0</v>
      </c>
      <c r="Q11" s="63"/>
      <c r="R11" s="62">
        <v>0</v>
      </c>
      <c r="S11" s="60">
        <f>R11/12*10</f>
        <v>0</v>
      </c>
      <c r="T11" s="63">
        <v>0</v>
      </c>
      <c r="U11" s="63">
        <f>S11-T11</f>
        <v>0</v>
      </c>
      <c r="V11" s="30"/>
      <c r="X11" s="19"/>
    </row>
    <row r="12" spans="1:27" ht="15.75" x14ac:dyDescent="0.25">
      <c r="A12" s="58"/>
      <c r="B12" s="58"/>
      <c r="C12" s="59"/>
      <c r="D12" s="310"/>
      <c r="E12" s="310"/>
      <c r="F12" s="59"/>
      <c r="G12" s="64"/>
      <c r="H12" s="60"/>
      <c r="I12" s="60"/>
      <c r="J12" s="60"/>
      <c r="K12" s="63"/>
      <c r="L12" s="61"/>
      <c r="M12" s="64"/>
      <c r="N12" s="60"/>
      <c r="O12" s="60"/>
      <c r="P12" s="60"/>
      <c r="Q12" s="63"/>
      <c r="R12" s="62"/>
      <c r="S12" s="63"/>
      <c r="T12" s="63"/>
      <c r="U12" s="63"/>
      <c r="V12" s="30"/>
    </row>
    <row r="13" spans="1:27" s="132" customFormat="1" ht="16.5" thickBot="1" x14ac:dyDescent="0.3">
      <c r="A13" s="138" t="s">
        <v>170</v>
      </c>
      <c r="B13" s="57"/>
      <c r="C13" s="65">
        <f>SUM(C7:C12)</f>
        <v>-201.75</v>
      </c>
      <c r="D13" s="66">
        <f>SUM(D7:D12)</f>
        <v>1220</v>
      </c>
      <c r="E13" s="71"/>
      <c r="F13" s="65">
        <f>SUM(F7:F12)</f>
        <v>151.75</v>
      </c>
      <c r="G13" s="66">
        <f>SUM(G7:G12)</f>
        <v>1421.75</v>
      </c>
      <c r="H13" s="68">
        <f t="shared" ref="H13:J13" si="0">SUM(H7:H12)</f>
        <v>1184.7916666666665</v>
      </c>
      <c r="I13" s="68">
        <f t="shared" si="0"/>
        <v>760</v>
      </c>
      <c r="J13" s="68">
        <f t="shared" si="0"/>
        <v>424.79166666666663</v>
      </c>
      <c r="K13" s="67"/>
      <c r="L13" s="65">
        <f t="shared" ref="L13:P13" si="1">SUM(L7:L12)</f>
        <v>355</v>
      </c>
      <c r="M13" s="66">
        <f t="shared" si="1"/>
        <v>1270</v>
      </c>
      <c r="N13" s="68">
        <f t="shared" si="1"/>
        <v>1058.3333333333335</v>
      </c>
      <c r="O13" s="68">
        <f t="shared" si="1"/>
        <v>2032.45</v>
      </c>
      <c r="P13" s="68">
        <f t="shared" si="1"/>
        <v>-974.11666666666667</v>
      </c>
      <c r="Q13" s="67"/>
      <c r="R13" s="74">
        <f t="shared" ref="R13:U13" si="2">SUM(R7:R12)</f>
        <v>915</v>
      </c>
      <c r="S13" s="68">
        <f t="shared" si="2"/>
        <v>762.5</v>
      </c>
      <c r="T13" s="68">
        <f t="shared" si="2"/>
        <v>1039.1300000000001</v>
      </c>
      <c r="U13" s="68">
        <f t="shared" si="2"/>
        <v>-276.63000000000005</v>
      </c>
      <c r="V13" s="31"/>
    </row>
    <row r="14" spans="1:27" ht="15.75" x14ac:dyDescent="0.25">
      <c r="A14" s="57"/>
      <c r="B14" s="57"/>
      <c r="C14" s="70"/>
      <c r="D14" s="309"/>
      <c r="E14" s="309"/>
      <c r="F14" s="70"/>
      <c r="G14" s="71"/>
      <c r="H14" s="72"/>
      <c r="I14" s="72"/>
      <c r="J14" s="72"/>
      <c r="K14" s="67"/>
      <c r="L14" s="70"/>
      <c r="M14" s="71"/>
      <c r="N14" s="72"/>
      <c r="O14" s="72"/>
      <c r="P14" s="72"/>
      <c r="Q14" s="67"/>
      <c r="R14" s="73"/>
      <c r="S14" s="72"/>
      <c r="T14" s="72"/>
      <c r="U14" s="72"/>
      <c r="V14" s="31"/>
    </row>
    <row r="15" spans="1:27" x14ac:dyDescent="0.25">
      <c r="A15" s="49" t="s">
        <v>23</v>
      </c>
      <c r="F15" s="32"/>
      <c r="H15" s="32"/>
      <c r="M15" s="34"/>
      <c r="R15" s="34"/>
    </row>
    <row r="16" spans="1:27" ht="15.75" x14ac:dyDescent="0.25">
      <c r="A16" s="50" t="s">
        <v>22</v>
      </c>
      <c r="B16" s="58" t="s">
        <v>167</v>
      </c>
      <c r="C16" s="59">
        <f t="shared" ref="C16:C21" si="3">D16-G16</f>
        <v>1.5999999999999943</v>
      </c>
      <c r="D16" s="329">
        <v>205</v>
      </c>
      <c r="E16" s="308"/>
      <c r="F16" s="59">
        <f t="shared" ref="F16:F21" si="4">G16-M16</f>
        <v>3.4000000000000057</v>
      </c>
      <c r="G16" s="85">
        <f>M16+(M16*$C$33)</f>
        <v>203.4</v>
      </c>
      <c r="H16" s="60">
        <f t="shared" ref="H16:H21" si="5">G16/12*10</f>
        <v>169.5</v>
      </c>
      <c r="I16" s="327">
        <v>95</v>
      </c>
      <c r="J16" s="60">
        <f t="shared" ref="J16:J21" si="6">H16-I16</f>
        <v>74.5</v>
      </c>
      <c r="L16" s="61">
        <f t="shared" ref="L16:L21" si="7">M16-R16</f>
        <v>-200</v>
      </c>
      <c r="M16" s="36">
        <v>200</v>
      </c>
      <c r="N16" s="60">
        <f t="shared" ref="N16:N21" si="8">M16/12*10</f>
        <v>166.66666666666669</v>
      </c>
      <c r="P16" s="60">
        <f t="shared" ref="P16:P21" si="9">N16-O16</f>
        <v>166.66666666666669</v>
      </c>
      <c r="R16" s="36">
        <v>400</v>
      </c>
      <c r="S16" s="60">
        <f t="shared" ref="S16:S21" si="10">R16/12*10</f>
        <v>333.33333333333337</v>
      </c>
      <c r="T16" s="37">
        <v>157.82</v>
      </c>
      <c r="W16" s="48"/>
    </row>
    <row r="17" spans="1:24" ht="15.75" x14ac:dyDescent="0.25">
      <c r="A17" s="50" t="s">
        <v>16</v>
      </c>
      <c r="B17" s="58" t="s">
        <v>167</v>
      </c>
      <c r="C17" s="59">
        <f t="shared" si="3"/>
        <v>-51.7</v>
      </c>
      <c r="D17" s="329">
        <v>50</v>
      </c>
      <c r="E17" s="308"/>
      <c r="F17" s="59">
        <f t="shared" si="4"/>
        <v>1.7000000000000028</v>
      </c>
      <c r="G17" s="85">
        <f>M17+(M17*$C$33)</f>
        <v>101.7</v>
      </c>
      <c r="H17" s="60">
        <f t="shared" si="5"/>
        <v>84.75</v>
      </c>
      <c r="I17" s="327">
        <v>0</v>
      </c>
      <c r="J17" s="60">
        <f t="shared" si="6"/>
        <v>84.75</v>
      </c>
      <c r="L17" s="61">
        <f t="shared" si="7"/>
        <v>50</v>
      </c>
      <c r="M17" s="36">
        <v>100</v>
      </c>
      <c r="N17" s="60">
        <f t="shared" si="8"/>
        <v>83.333333333333343</v>
      </c>
      <c r="P17" s="60">
        <f t="shared" si="9"/>
        <v>83.333333333333343</v>
      </c>
      <c r="R17" s="36">
        <v>50</v>
      </c>
      <c r="S17" s="60">
        <f t="shared" si="10"/>
        <v>41.666666666666671</v>
      </c>
      <c r="T17" s="37">
        <v>0</v>
      </c>
    </row>
    <row r="18" spans="1:24" ht="15.75" x14ac:dyDescent="0.25">
      <c r="A18" s="50" t="s">
        <v>12</v>
      </c>
      <c r="B18" s="58" t="s">
        <v>167</v>
      </c>
      <c r="C18" s="59">
        <f t="shared" si="3"/>
        <v>-1.7000000000000028</v>
      </c>
      <c r="D18" s="329">
        <v>100</v>
      </c>
      <c r="E18" s="308"/>
      <c r="F18" s="59">
        <f t="shared" si="4"/>
        <v>1.7000000000000028</v>
      </c>
      <c r="G18" s="85">
        <f>M18+(M18*$C$33)</f>
        <v>101.7</v>
      </c>
      <c r="H18" s="60">
        <f t="shared" si="5"/>
        <v>84.75</v>
      </c>
      <c r="I18" s="327">
        <v>282</v>
      </c>
      <c r="J18" s="60">
        <f t="shared" si="6"/>
        <v>-197.25</v>
      </c>
      <c r="L18" s="61">
        <f t="shared" si="7"/>
        <v>47</v>
      </c>
      <c r="M18" s="36">
        <v>100</v>
      </c>
      <c r="N18" s="60">
        <f t="shared" si="8"/>
        <v>83.333333333333343</v>
      </c>
      <c r="P18" s="60">
        <f t="shared" si="9"/>
        <v>83.333333333333343</v>
      </c>
      <c r="R18" s="36">
        <v>53</v>
      </c>
      <c r="S18" s="60">
        <f t="shared" si="10"/>
        <v>44.166666666666671</v>
      </c>
      <c r="T18" s="37">
        <v>90</v>
      </c>
    </row>
    <row r="19" spans="1:24" ht="15.75" x14ac:dyDescent="0.25">
      <c r="A19" s="50" t="s">
        <v>41</v>
      </c>
      <c r="B19" s="58" t="s">
        <v>167</v>
      </c>
      <c r="C19" s="59">
        <f t="shared" si="3"/>
        <v>99.15</v>
      </c>
      <c r="D19" s="329">
        <v>150</v>
      </c>
      <c r="E19" s="308"/>
      <c r="F19" s="59">
        <f t="shared" si="4"/>
        <v>0.85000000000000142</v>
      </c>
      <c r="G19" s="85">
        <f>M19+(M19*$C$33)</f>
        <v>50.85</v>
      </c>
      <c r="H19" s="60">
        <f t="shared" si="5"/>
        <v>42.375</v>
      </c>
      <c r="I19" s="327">
        <v>209</v>
      </c>
      <c r="J19" s="60">
        <f t="shared" si="6"/>
        <v>-166.625</v>
      </c>
      <c r="L19" s="61">
        <f t="shared" si="7"/>
        <v>0</v>
      </c>
      <c r="M19" s="36">
        <v>50</v>
      </c>
      <c r="N19" s="60">
        <f t="shared" si="8"/>
        <v>41.666666666666671</v>
      </c>
      <c r="P19" s="60">
        <f t="shared" si="9"/>
        <v>41.666666666666671</v>
      </c>
      <c r="R19" s="36">
        <v>50</v>
      </c>
      <c r="S19" s="60">
        <f t="shared" si="10"/>
        <v>41.666666666666671</v>
      </c>
      <c r="T19" s="37">
        <v>90</v>
      </c>
    </row>
    <row r="20" spans="1:24" ht="15.75" x14ac:dyDescent="0.25">
      <c r="A20" s="50" t="s">
        <v>156</v>
      </c>
      <c r="C20" s="59">
        <f t="shared" si="3"/>
        <v>-118.03174603174604</v>
      </c>
      <c r="D20" s="328">
        <v>0</v>
      </c>
      <c r="F20" s="59">
        <f t="shared" si="4"/>
        <v>118.03174603174604</v>
      </c>
      <c r="G20" s="36">
        <f>Reserves!X13</f>
        <v>118.03174603174604</v>
      </c>
      <c r="H20" s="60">
        <f t="shared" si="5"/>
        <v>98.359788359788368</v>
      </c>
      <c r="I20" s="327">
        <v>222</v>
      </c>
      <c r="J20" s="60">
        <f t="shared" si="6"/>
        <v>-123.64021164021163</v>
      </c>
      <c r="L20" s="61">
        <f t="shared" si="7"/>
        <v>0</v>
      </c>
      <c r="M20" s="36">
        <v>0</v>
      </c>
      <c r="N20" s="60">
        <f t="shared" si="8"/>
        <v>0</v>
      </c>
      <c r="P20" s="60">
        <f t="shared" si="9"/>
        <v>0</v>
      </c>
      <c r="R20" s="36">
        <v>0</v>
      </c>
      <c r="S20" s="60">
        <f t="shared" si="10"/>
        <v>0</v>
      </c>
      <c r="T20" s="37">
        <v>0</v>
      </c>
    </row>
    <row r="21" spans="1:24" ht="15.75" x14ac:dyDescent="0.25">
      <c r="A21" s="50" t="s">
        <v>125</v>
      </c>
      <c r="C21" s="59">
        <f t="shared" si="3"/>
        <v>0</v>
      </c>
      <c r="D21" s="328"/>
      <c r="F21" s="59">
        <f t="shared" si="4"/>
        <v>0</v>
      </c>
      <c r="G21" s="36">
        <v>0</v>
      </c>
      <c r="H21" s="60">
        <f t="shared" si="5"/>
        <v>0</v>
      </c>
      <c r="I21" s="327">
        <v>0</v>
      </c>
      <c r="J21" s="60">
        <f t="shared" si="6"/>
        <v>0</v>
      </c>
      <c r="L21" s="61">
        <f t="shared" si="7"/>
        <v>0</v>
      </c>
      <c r="M21" s="36">
        <v>0</v>
      </c>
      <c r="N21" s="60">
        <f t="shared" si="8"/>
        <v>0</v>
      </c>
      <c r="P21" s="60">
        <f t="shared" si="9"/>
        <v>0</v>
      </c>
      <c r="R21" s="36">
        <v>0</v>
      </c>
      <c r="S21" s="60">
        <f t="shared" si="10"/>
        <v>0</v>
      </c>
      <c r="T21" s="37">
        <v>0</v>
      </c>
      <c r="W21" s="48"/>
    </row>
    <row r="22" spans="1:24" x14ac:dyDescent="0.25">
      <c r="A22" s="50"/>
      <c r="C22" s="33"/>
      <c r="F22" s="33"/>
      <c r="G22" s="36"/>
      <c r="H22" s="32"/>
      <c r="L22" s="33"/>
      <c r="M22" s="36"/>
      <c r="R22" s="36"/>
      <c r="T22" s="37"/>
    </row>
    <row r="23" spans="1:24" s="132" customFormat="1" ht="15.75" thickBot="1" x14ac:dyDescent="0.3">
      <c r="A23" s="138" t="s">
        <v>171</v>
      </c>
      <c r="C23" s="94">
        <f>SUM(C15:C22)</f>
        <v>-70.681746031746044</v>
      </c>
      <c r="D23" s="95">
        <f>SUM(D15:D22)</f>
        <v>505</v>
      </c>
      <c r="E23" s="323"/>
      <c r="F23" s="94">
        <f>SUM(F15:F22)</f>
        <v>125.68174603174606</v>
      </c>
      <c r="G23" s="95">
        <f>SUM(G15:G22)</f>
        <v>575.68174603174612</v>
      </c>
      <c r="H23" s="96">
        <f>SUM(H15:H22)</f>
        <v>479.73478835978835</v>
      </c>
      <c r="I23" s="96">
        <f>SUM(I15:I22)</f>
        <v>808</v>
      </c>
      <c r="J23" s="96">
        <f>SUM(J15:J22)</f>
        <v>-328.26521164021165</v>
      </c>
      <c r="L23" s="94">
        <f>SUM(L15:L22)</f>
        <v>-103</v>
      </c>
      <c r="M23" s="95">
        <f>SUM(M15:M22)</f>
        <v>450</v>
      </c>
      <c r="N23" s="96">
        <f>SUM(N15:N22)</f>
        <v>375.00000000000006</v>
      </c>
      <c r="O23" s="96">
        <f>SUM(O15:O22)</f>
        <v>0</v>
      </c>
      <c r="P23" s="96">
        <f>SUM(P15:P22)</f>
        <v>375.00000000000006</v>
      </c>
      <c r="R23" s="95">
        <f>SUM(R15:R22)</f>
        <v>553</v>
      </c>
      <c r="S23" s="96">
        <f>SUM(S15:S22)</f>
        <v>460.83333333333343</v>
      </c>
      <c r="T23" s="96">
        <f>SUM(T15:T22)</f>
        <v>337.82</v>
      </c>
      <c r="U23" s="96">
        <f>SUM(U15:U22)</f>
        <v>0</v>
      </c>
    </row>
    <row r="24" spans="1:24" x14ac:dyDescent="0.25">
      <c r="A24" s="35"/>
      <c r="C24" s="33"/>
      <c r="F24" s="33"/>
      <c r="G24" s="41"/>
      <c r="H24" s="32"/>
      <c r="L24" s="33"/>
      <c r="M24" s="41"/>
      <c r="R24" s="41"/>
      <c r="T24" s="42"/>
    </row>
    <row r="25" spans="1:24" ht="15.75" x14ac:dyDescent="0.25">
      <c r="A25" s="50" t="s">
        <v>90</v>
      </c>
      <c r="C25" s="59">
        <f>D25-G25</f>
        <v>0</v>
      </c>
      <c r="D25" s="331">
        <f>G25</f>
        <v>450</v>
      </c>
      <c r="E25" s="305"/>
      <c r="F25" s="59">
        <f>G25-M25</f>
        <v>0</v>
      </c>
      <c r="G25" s="36">
        <v>450</v>
      </c>
      <c r="H25" s="60">
        <f>G25/12*10</f>
        <v>375</v>
      </c>
      <c r="I25" s="327"/>
      <c r="J25" s="60">
        <f>H25-I25</f>
        <v>375</v>
      </c>
      <c r="L25" s="61">
        <f>M25-R25</f>
        <v>0</v>
      </c>
      <c r="M25" s="36">
        <v>450</v>
      </c>
      <c r="N25" s="60">
        <f>M25/12*10</f>
        <v>375</v>
      </c>
      <c r="P25" s="60">
        <f>N25-O25</f>
        <v>375</v>
      </c>
      <c r="R25" s="36">
        <v>450</v>
      </c>
      <c r="S25" s="60">
        <f>R25/12*10</f>
        <v>375</v>
      </c>
      <c r="T25" s="37">
        <v>0</v>
      </c>
    </row>
    <row r="26" spans="1:24" x14ac:dyDescent="0.25">
      <c r="A26" s="50"/>
      <c r="C26" s="33"/>
      <c r="F26" s="33"/>
      <c r="G26" s="36"/>
      <c r="H26" s="32"/>
      <c r="L26" s="33"/>
      <c r="M26" s="36"/>
      <c r="R26" s="36"/>
      <c r="T26" s="37"/>
    </row>
    <row r="27" spans="1:24" s="132" customFormat="1" ht="15.75" thickBot="1" x14ac:dyDescent="0.3">
      <c r="A27" s="138" t="s">
        <v>169</v>
      </c>
      <c r="C27" s="94">
        <f>C13+C23+C25</f>
        <v>-272.43174603174606</v>
      </c>
      <c r="D27" s="95">
        <f>D13+D23+D25</f>
        <v>2175</v>
      </c>
      <c r="E27" s="323"/>
      <c r="F27" s="94">
        <f>F13+F23+F25</f>
        <v>277.43174603174606</v>
      </c>
      <c r="G27" s="95">
        <f>G13+G23+G25</f>
        <v>2447.4317460317461</v>
      </c>
      <c r="H27" s="96">
        <f>H13+H23+H25</f>
        <v>2039.5264550264549</v>
      </c>
      <c r="I27" s="96">
        <f>I13+I23+I25</f>
        <v>1568</v>
      </c>
      <c r="J27" s="96">
        <f>J13+J23+J25</f>
        <v>471.52645502645498</v>
      </c>
      <c r="L27" s="94">
        <f>L13+L23+L25</f>
        <v>252</v>
      </c>
      <c r="M27" s="95">
        <f>M13+M23+M25</f>
        <v>2170</v>
      </c>
      <c r="N27" s="96">
        <f>N13+N23+N25</f>
        <v>1808.3333333333335</v>
      </c>
      <c r="O27" s="96">
        <f>O13+O23+O25</f>
        <v>2032.45</v>
      </c>
      <c r="P27" s="96">
        <f>P13+P23+P25</f>
        <v>-224.11666666666656</v>
      </c>
      <c r="R27" s="95">
        <f>R13+R23+R25</f>
        <v>1918</v>
      </c>
      <c r="S27" s="96">
        <f>S13+S23+S25</f>
        <v>1598.3333333333335</v>
      </c>
      <c r="T27" s="96">
        <f>T13+T23+T25</f>
        <v>1376.95</v>
      </c>
      <c r="U27" s="96">
        <f>U13+U23+U25</f>
        <v>-276.63000000000005</v>
      </c>
    </row>
    <row r="28" spans="1:24" x14ac:dyDescent="0.25">
      <c r="C28" s="33"/>
      <c r="F28" s="33"/>
      <c r="G28" s="41"/>
      <c r="H28" s="32"/>
      <c r="L28" s="33"/>
      <c r="M28" s="145"/>
      <c r="R28" s="41"/>
      <c r="T28" s="42"/>
      <c r="W28" s="43"/>
    </row>
    <row r="29" spans="1:24" ht="15.75" x14ac:dyDescent="0.25">
      <c r="A29" s="50" t="s">
        <v>100</v>
      </c>
      <c r="C29" s="59">
        <f>D29-G29</f>
        <v>90</v>
      </c>
      <c r="D29" s="363">
        <f>Reserves!F13</f>
        <v>1530</v>
      </c>
      <c r="E29" s="305"/>
      <c r="F29" s="59">
        <f>G29-M29</f>
        <v>-360</v>
      </c>
      <c r="G29" s="36">
        <v>1440</v>
      </c>
      <c r="H29" s="60">
        <f>G29/12*10</f>
        <v>1200</v>
      </c>
      <c r="I29" s="327"/>
      <c r="J29" s="60">
        <f>H29-I29</f>
        <v>1200</v>
      </c>
      <c r="L29" s="61">
        <f>M29-R29</f>
        <v>0</v>
      </c>
      <c r="M29" s="36">
        <v>1800</v>
      </c>
      <c r="N29" s="60">
        <f>M29/12*10</f>
        <v>1500</v>
      </c>
      <c r="P29" s="60">
        <f>N29-O29</f>
        <v>1500</v>
      </c>
      <c r="R29" s="36">
        <v>1800</v>
      </c>
      <c r="S29" s="60">
        <f>R29/12*10</f>
        <v>1500</v>
      </c>
      <c r="T29" s="37">
        <v>1350</v>
      </c>
    </row>
    <row r="30" spans="1:24" x14ac:dyDescent="0.25">
      <c r="A30" s="50"/>
      <c r="C30" s="33"/>
      <c r="F30" s="33"/>
      <c r="G30" s="36"/>
      <c r="H30" s="32"/>
      <c r="L30" s="33"/>
      <c r="M30" s="36"/>
      <c r="R30" s="36"/>
      <c r="T30" s="37"/>
    </row>
    <row r="31" spans="1:24" s="132" customFormat="1" ht="15.75" thickBot="1" x14ac:dyDescent="0.3">
      <c r="A31" s="138" t="s">
        <v>1</v>
      </c>
      <c r="C31" s="98">
        <f t="shared" ref="C31" si="11">SUM(C27:C30)</f>
        <v>-182.43174603174606</v>
      </c>
      <c r="D31" s="99">
        <f t="shared" ref="D31" si="12">SUM(D27:D30)</f>
        <v>3705</v>
      </c>
      <c r="E31" s="320"/>
      <c r="F31" s="98">
        <f>SUM(F27:F30)</f>
        <v>-82.568253968253941</v>
      </c>
      <c r="G31" s="99">
        <f>SUM(G27:G30)</f>
        <v>3887.4317460317461</v>
      </c>
      <c r="H31" s="52">
        <f t="shared" ref="H31:J31" si="13">SUM(H27:H30)</f>
        <v>3239.5264550264546</v>
      </c>
      <c r="I31" s="52">
        <f t="shared" si="13"/>
        <v>1568</v>
      </c>
      <c r="J31" s="52">
        <f t="shared" si="13"/>
        <v>1671.5264550264551</v>
      </c>
      <c r="L31" s="98">
        <f t="shared" ref="L31:P31" si="14">SUM(L27:L30)</f>
        <v>252</v>
      </c>
      <c r="M31" s="99">
        <f t="shared" si="14"/>
        <v>3970</v>
      </c>
      <c r="N31" s="52">
        <f t="shared" si="14"/>
        <v>3308.3333333333335</v>
      </c>
      <c r="O31" s="52">
        <f t="shared" si="14"/>
        <v>2032.45</v>
      </c>
      <c r="P31" s="52">
        <f t="shared" si="14"/>
        <v>1275.8833333333334</v>
      </c>
      <c r="R31" s="99">
        <f>SUM(R27:R30)</f>
        <v>3718</v>
      </c>
      <c r="S31" s="52">
        <f t="shared" ref="S31:U31" si="15">SUM(S27:S30)</f>
        <v>3098.3333333333335</v>
      </c>
      <c r="T31" s="52">
        <f t="shared" si="15"/>
        <v>2726.95</v>
      </c>
      <c r="U31" s="52">
        <f t="shared" si="15"/>
        <v>-276.63000000000005</v>
      </c>
      <c r="W31" s="158">
        <f>SUM(B31:V31)</f>
        <v>33911.804656084656</v>
      </c>
      <c r="X31" s="159" t="s">
        <v>174</v>
      </c>
    </row>
    <row r="33" spans="1:9" x14ac:dyDescent="0.25">
      <c r="A33" s="5" t="s">
        <v>166</v>
      </c>
      <c r="B33" s="5"/>
      <c r="C33" s="100">
        <f>Summary!$C$25</f>
        <v>1.7000000000000001E-2</v>
      </c>
      <c r="D33" s="306"/>
      <c r="E33" s="306"/>
      <c r="F33" s="306"/>
      <c r="G33" s="306"/>
      <c r="H33" s="306"/>
    </row>
    <row r="35" spans="1:9" x14ac:dyDescent="0.25">
      <c r="A35" s="14" t="s">
        <v>98</v>
      </c>
      <c r="B35" s="185"/>
      <c r="C35" s="295"/>
      <c r="D35" s="306"/>
      <c r="E35" s="306"/>
      <c r="F35" s="306"/>
      <c r="G35" s="306"/>
      <c r="H35" s="306"/>
      <c r="I35" s="185"/>
    </row>
    <row r="36" spans="1:9" ht="30" customHeight="1" x14ac:dyDescent="0.25">
      <c r="A36" s="432" t="s">
        <v>352</v>
      </c>
      <c r="B36" s="373"/>
      <c r="C36" s="373"/>
      <c r="D36" s="373"/>
      <c r="E36" s="373"/>
      <c r="F36" s="373"/>
      <c r="G36" s="373"/>
      <c r="H36" s="373"/>
      <c r="I36" s="373"/>
    </row>
    <row r="37" spans="1:9" x14ac:dyDescent="0.25">
      <c r="A37" s="32" t="s">
        <v>217</v>
      </c>
    </row>
    <row r="38" spans="1:9" x14ac:dyDescent="0.25">
      <c r="A38" s="32" t="s">
        <v>218</v>
      </c>
    </row>
    <row r="39" spans="1:9" x14ac:dyDescent="0.25">
      <c r="A39" s="32" t="s">
        <v>219</v>
      </c>
    </row>
    <row r="42" spans="1:9" ht="18.75" x14ac:dyDescent="0.25">
      <c r="A42" s="351" t="s">
        <v>267</v>
      </c>
      <c r="B42" s="352"/>
      <c r="C42" s="353" t="s">
        <v>236</v>
      </c>
      <c r="D42" s="354" t="s">
        <v>237</v>
      </c>
      <c r="F42" s="356" t="s">
        <v>268</v>
      </c>
    </row>
    <row r="43" spans="1:9" x14ac:dyDescent="0.25">
      <c r="A43" s="236" t="s">
        <v>301</v>
      </c>
      <c r="B43" s="237"/>
      <c r="C43" s="239">
        <v>7159</v>
      </c>
      <c r="D43" s="239"/>
      <c r="F43" s="34" t="s">
        <v>307</v>
      </c>
    </row>
    <row r="44" spans="1:9" ht="30" x14ac:dyDescent="0.25">
      <c r="A44" s="368" t="s">
        <v>299</v>
      </c>
      <c r="B44" s="237"/>
      <c r="C44" s="239"/>
      <c r="D44" s="239"/>
    </row>
    <row r="45" spans="1:9" x14ac:dyDescent="0.25">
      <c r="A45" s="192"/>
      <c r="B45" s="237"/>
      <c r="C45" s="238"/>
      <c r="D45" s="239"/>
    </row>
    <row r="46" spans="1:9" x14ac:dyDescent="0.25">
      <c r="A46" s="192"/>
      <c r="B46" s="237"/>
      <c r="C46" s="238"/>
      <c r="D46" s="239"/>
    </row>
    <row r="47" spans="1:9" x14ac:dyDescent="0.25">
      <c r="A47" s="194"/>
      <c r="B47" s="193"/>
      <c r="C47" s="191"/>
      <c r="D47" s="191"/>
    </row>
    <row r="48" spans="1:9" x14ac:dyDescent="0.25">
      <c r="A48" s="194"/>
      <c r="B48" s="193"/>
      <c r="C48" s="191"/>
      <c r="D48" s="191"/>
    </row>
    <row r="49" spans="1:6" x14ac:dyDescent="0.25">
      <c r="A49" s="194"/>
      <c r="B49" s="193"/>
      <c r="C49" s="191"/>
      <c r="D49" s="191"/>
    </row>
    <row r="50" spans="1:6" x14ac:dyDescent="0.25">
      <c r="A50" s="194"/>
      <c r="B50" s="193"/>
      <c r="C50" s="191"/>
      <c r="D50" s="191"/>
    </row>
    <row r="51" spans="1:6" x14ac:dyDescent="0.25">
      <c r="A51" s="194"/>
      <c r="B51" s="193"/>
      <c r="C51" s="191"/>
      <c r="D51" s="191"/>
    </row>
    <row r="52" spans="1:6" x14ac:dyDescent="0.25">
      <c r="A52" s="221"/>
      <c r="B52" s="237"/>
      <c r="C52" s="238"/>
      <c r="D52" s="238"/>
    </row>
    <row r="53" spans="1:6" x14ac:dyDescent="0.25">
      <c r="A53" s="240" t="s">
        <v>201</v>
      </c>
      <c r="B53" s="241"/>
      <c r="C53" s="242">
        <f>SUM(C43:C52)</f>
        <v>7159</v>
      </c>
      <c r="D53" s="242">
        <f>SUM(D43:D52)</f>
        <v>0</v>
      </c>
    </row>
    <row r="54" spans="1:6" x14ac:dyDescent="0.25">
      <c r="A54" s="295"/>
      <c r="B54" s="226"/>
      <c r="C54" s="226"/>
      <c r="D54" s="303"/>
    </row>
    <row r="55" spans="1:6" ht="30" customHeight="1" x14ac:dyDescent="0.25">
      <c r="A55" s="414"/>
      <c r="B55" s="415"/>
      <c r="C55" s="415"/>
      <c r="D55" s="415"/>
      <c r="E55" s="425"/>
      <c r="F55" s="425"/>
    </row>
    <row r="56" spans="1:6" ht="30" customHeight="1" x14ac:dyDescent="0.25">
      <c r="A56" s="414"/>
      <c r="B56" s="415"/>
      <c r="C56" s="415"/>
      <c r="D56" s="415"/>
      <c r="E56" s="425"/>
      <c r="F56" s="425"/>
    </row>
    <row r="57" spans="1:6" ht="30" customHeight="1" x14ac:dyDescent="0.25">
      <c r="A57" s="414"/>
      <c r="B57" s="415"/>
      <c r="C57" s="415"/>
      <c r="D57" s="415"/>
      <c r="E57" s="425"/>
      <c r="F57" s="425"/>
    </row>
  </sheetData>
  <mergeCells count="18">
    <mergeCell ref="R3:U3"/>
    <mergeCell ref="F4:F5"/>
    <mergeCell ref="L4:L5"/>
    <mergeCell ref="M4:N4"/>
    <mergeCell ref="R4:S4"/>
    <mergeCell ref="N5:P5"/>
    <mergeCell ref="S5:U5"/>
    <mergeCell ref="G4:H4"/>
    <mergeCell ref="H5:J5"/>
    <mergeCell ref="F3:J3"/>
    <mergeCell ref="L3:P3"/>
    <mergeCell ref="A55:F55"/>
    <mergeCell ref="A56:F56"/>
    <mergeCell ref="A57:F57"/>
    <mergeCell ref="A36:I36"/>
    <mergeCell ref="C3:D3"/>
    <mergeCell ref="C4:C5"/>
    <mergeCell ref="D4:D5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93" orientation="landscape" horizont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A53"/>
  <sheetViews>
    <sheetView showGridLines="0" zoomScale="80" zoomScaleNormal="80" workbookViewId="0">
      <pane ySplit="5" topLeftCell="A24" activePane="bottomLeft" state="frozen"/>
      <selection pane="bottomLeft" activeCell="A51" sqref="A51:F53"/>
    </sheetView>
  </sheetViews>
  <sheetFormatPr defaultColWidth="9.140625" defaultRowHeight="15" x14ac:dyDescent="0.25"/>
  <cols>
    <col min="1" max="1" width="40.7109375" style="32" customWidth="1"/>
    <col min="2" max="2" width="2.7109375" style="32" customWidth="1"/>
    <col min="3" max="3" width="11.7109375" style="32" customWidth="1"/>
    <col min="4" max="4" width="11.7109375" style="34" customWidth="1"/>
    <col min="5" max="5" width="2.7109375" style="34" customWidth="1"/>
    <col min="6" max="8" width="11.7109375" style="34" customWidth="1"/>
    <col min="9" max="10" width="11.7109375" style="32" customWidth="1"/>
    <col min="11" max="11" width="2.7109375" style="32" customWidth="1"/>
    <col min="12" max="16" width="11.7109375" style="32" customWidth="1"/>
    <col min="17" max="17" width="2.7109375" style="32" customWidth="1"/>
    <col min="18" max="21" width="11.7109375" style="32" customWidth="1"/>
    <col min="22" max="22" width="2.7109375" style="32" customWidth="1"/>
    <col min="23" max="16384" width="9.140625" style="32"/>
  </cols>
  <sheetData>
    <row r="1" spans="1:24" ht="21" x14ac:dyDescent="0.25">
      <c r="A1" s="53" t="s">
        <v>126</v>
      </c>
      <c r="B1" s="54"/>
      <c r="C1" s="54"/>
      <c r="D1" s="301"/>
      <c r="E1" s="301"/>
      <c r="F1" s="301"/>
      <c r="G1" s="301"/>
      <c r="H1" s="301"/>
      <c r="I1" s="55"/>
      <c r="J1" s="55"/>
      <c r="K1" s="55"/>
      <c r="L1" s="55"/>
      <c r="M1" s="56" t="s">
        <v>242</v>
      </c>
      <c r="N1" s="5"/>
      <c r="O1" s="195">
        <v>12</v>
      </c>
      <c r="P1" s="5"/>
      <c r="Q1" s="5"/>
      <c r="R1" s="5"/>
      <c r="S1" s="5"/>
      <c r="T1" s="5"/>
      <c r="U1" s="5"/>
      <c r="V1" s="5"/>
      <c r="W1" s="5"/>
    </row>
    <row r="2" spans="1:24" x14ac:dyDescent="0.25">
      <c r="B2" s="55"/>
      <c r="C2" s="55"/>
      <c r="D2" s="302"/>
      <c r="E2" s="302"/>
      <c r="F2" s="302"/>
      <c r="G2" s="302"/>
      <c r="H2" s="302"/>
      <c r="I2" s="55"/>
      <c r="J2" s="55"/>
      <c r="K2" s="55"/>
      <c r="L2" s="55"/>
      <c r="M2" s="54"/>
      <c r="N2" s="295"/>
      <c r="O2" s="295"/>
      <c r="P2" s="295"/>
      <c r="Q2" s="295"/>
      <c r="R2" s="295"/>
      <c r="S2" s="295"/>
      <c r="T2" s="295"/>
      <c r="U2" s="295"/>
      <c r="V2" s="295"/>
      <c r="W2" s="295"/>
    </row>
    <row r="3" spans="1:24" s="132" customFormat="1" ht="21" x14ac:dyDescent="0.25">
      <c r="A3" s="56" t="s">
        <v>249</v>
      </c>
      <c r="B3" s="334"/>
      <c r="C3" s="403">
        <v>2020</v>
      </c>
      <c r="D3" s="404"/>
      <c r="E3" s="335"/>
      <c r="F3" s="403">
        <v>2019</v>
      </c>
      <c r="G3" s="405"/>
      <c r="H3" s="423"/>
      <c r="I3" s="423"/>
      <c r="J3" s="424"/>
      <c r="K3" s="335"/>
      <c r="L3" s="403">
        <v>2018</v>
      </c>
      <c r="M3" s="423"/>
      <c r="N3" s="423"/>
      <c r="O3" s="423"/>
      <c r="P3" s="424"/>
      <c r="Q3" s="334"/>
      <c r="R3" s="403">
        <v>2017</v>
      </c>
      <c r="S3" s="405"/>
      <c r="T3" s="405"/>
      <c r="U3" s="404"/>
      <c r="V3" s="335"/>
      <c r="W3" s="337" t="s">
        <v>98</v>
      </c>
    </row>
    <row r="4" spans="1:24" x14ac:dyDescent="0.25">
      <c r="A4" s="23"/>
      <c r="B4" s="23"/>
      <c r="C4" s="420" t="s">
        <v>261</v>
      </c>
      <c r="D4" s="401" t="s">
        <v>44</v>
      </c>
      <c r="E4" s="290"/>
      <c r="F4" s="420" t="s">
        <v>165</v>
      </c>
      <c r="G4" s="419" t="s">
        <v>163</v>
      </c>
      <c r="H4" s="419"/>
      <c r="I4" s="292" t="s">
        <v>118</v>
      </c>
      <c r="J4" s="292" t="s">
        <v>97</v>
      </c>
      <c r="K4" s="292"/>
      <c r="L4" s="420" t="s">
        <v>164</v>
      </c>
      <c r="M4" s="409" t="s">
        <v>163</v>
      </c>
      <c r="N4" s="409"/>
      <c r="O4" s="24" t="s">
        <v>118</v>
      </c>
      <c r="P4" s="24" t="s">
        <v>97</v>
      </c>
      <c r="Q4" s="23"/>
      <c r="R4" s="409" t="s">
        <v>163</v>
      </c>
      <c r="S4" s="422"/>
      <c r="T4" s="24" t="s">
        <v>118</v>
      </c>
      <c r="U4" s="24" t="s">
        <v>97</v>
      </c>
      <c r="V4" s="24"/>
      <c r="W4" s="25"/>
    </row>
    <row r="5" spans="1:24" x14ac:dyDescent="0.25">
      <c r="A5" s="23"/>
      <c r="B5" s="23"/>
      <c r="C5" s="426"/>
      <c r="D5" s="402"/>
      <c r="E5" s="291"/>
      <c r="F5" s="426"/>
      <c r="G5" s="26" t="s">
        <v>161</v>
      </c>
      <c r="H5" s="409" t="s">
        <v>162</v>
      </c>
      <c r="I5" s="408"/>
      <c r="J5" s="408"/>
      <c r="K5" s="293"/>
      <c r="L5" s="421"/>
      <c r="M5" s="26" t="s">
        <v>161</v>
      </c>
      <c r="N5" s="409" t="s">
        <v>162</v>
      </c>
      <c r="O5" s="408"/>
      <c r="P5" s="408"/>
      <c r="Q5" s="23"/>
      <c r="R5" s="26" t="s">
        <v>161</v>
      </c>
      <c r="S5" s="409" t="s">
        <v>162</v>
      </c>
      <c r="T5" s="408"/>
      <c r="U5" s="408"/>
      <c r="V5" s="24"/>
      <c r="W5" s="25"/>
    </row>
    <row r="6" spans="1:24" x14ac:dyDescent="0.25">
      <c r="A6" s="23"/>
      <c r="B6" s="23"/>
      <c r="C6" s="350"/>
      <c r="D6" s="291"/>
      <c r="E6" s="291"/>
      <c r="F6" s="350"/>
      <c r="G6" s="26"/>
      <c r="H6" s="294"/>
      <c r="I6" s="293"/>
      <c r="J6" s="293"/>
      <c r="K6" s="293"/>
      <c r="L6" s="349"/>
      <c r="M6" s="26"/>
      <c r="N6" s="294"/>
      <c r="O6" s="293"/>
      <c r="P6" s="293"/>
      <c r="Q6" s="23"/>
      <c r="R6" s="26"/>
      <c r="S6" s="294"/>
      <c r="T6" s="293"/>
      <c r="U6" s="293"/>
      <c r="V6" s="292"/>
      <c r="W6" s="25"/>
    </row>
    <row r="7" spans="1:24" ht="15.75" x14ac:dyDescent="0.25">
      <c r="A7" s="57" t="s">
        <v>20</v>
      </c>
      <c r="B7" s="57"/>
      <c r="C7" s="57"/>
      <c r="D7" s="309"/>
      <c r="E7" s="309"/>
      <c r="F7" s="61"/>
      <c r="G7" s="62"/>
      <c r="H7" s="309"/>
      <c r="J7" s="63"/>
      <c r="K7" s="63"/>
      <c r="L7" s="61"/>
      <c r="M7" s="62"/>
      <c r="N7" s="63"/>
      <c r="O7" s="63"/>
      <c r="P7" s="63"/>
      <c r="Q7" s="63"/>
      <c r="R7" s="62"/>
      <c r="S7" s="63"/>
      <c r="T7" s="63"/>
      <c r="U7" s="63"/>
      <c r="V7" s="29"/>
      <c r="W7" s="29"/>
    </row>
    <row r="8" spans="1:24" ht="15.75" x14ac:dyDescent="0.25">
      <c r="A8" s="58" t="s">
        <v>21</v>
      </c>
      <c r="B8" s="58"/>
      <c r="C8" s="59">
        <f>D8-G8</f>
        <v>114</v>
      </c>
      <c r="D8" s="342">
        <v>660</v>
      </c>
      <c r="E8" s="310"/>
      <c r="F8" s="59">
        <f>G8-M8</f>
        <v>-4</v>
      </c>
      <c r="G8" s="64">
        <v>546</v>
      </c>
      <c r="H8" s="60">
        <f>G8/12*10</f>
        <v>455</v>
      </c>
      <c r="I8" s="346">
        <v>533</v>
      </c>
      <c r="J8" s="60">
        <f>H8-I8</f>
        <v>-78</v>
      </c>
      <c r="K8" s="63"/>
      <c r="L8" s="61">
        <f>M8-R8</f>
        <v>135</v>
      </c>
      <c r="M8" s="64">
        <v>550</v>
      </c>
      <c r="N8" s="60">
        <f>M8/12*10</f>
        <v>458.33333333333337</v>
      </c>
      <c r="O8" s="60">
        <v>340.8</v>
      </c>
      <c r="P8" s="60">
        <f>N8-O8</f>
        <v>117.53333333333336</v>
      </c>
      <c r="Q8" s="63"/>
      <c r="R8" s="62">
        <v>415</v>
      </c>
      <c r="S8" s="60">
        <f>R8/12*10</f>
        <v>345.83333333333337</v>
      </c>
      <c r="T8" s="63">
        <v>377.59</v>
      </c>
      <c r="U8" s="63">
        <f>S8-T8</f>
        <v>-31.756666666666604</v>
      </c>
      <c r="V8" s="30"/>
      <c r="W8" s="75"/>
    </row>
    <row r="9" spans="1:24" ht="15.75" x14ac:dyDescent="0.25">
      <c r="A9" s="58" t="s">
        <v>14</v>
      </c>
      <c r="B9" s="58" t="s">
        <v>167</v>
      </c>
      <c r="C9" s="59">
        <f>D9-G9</f>
        <v>-11.700000000000003</v>
      </c>
      <c r="D9" s="329">
        <v>90</v>
      </c>
      <c r="E9" s="308"/>
      <c r="F9" s="59">
        <f>G9-M9</f>
        <v>1.7000000000000028</v>
      </c>
      <c r="G9" s="85">
        <f>M9+(M9*$C$35)</f>
        <v>101.7</v>
      </c>
      <c r="H9" s="60">
        <f>G9/12*10</f>
        <v>84.75</v>
      </c>
      <c r="I9" s="346">
        <v>60</v>
      </c>
      <c r="J9" s="60">
        <f>H9-I9</f>
        <v>24.75</v>
      </c>
      <c r="K9" s="63"/>
      <c r="L9" s="61">
        <f t="shared" ref="L9:L11" si="0">M9-R9</f>
        <v>0</v>
      </c>
      <c r="M9" s="64">
        <v>100</v>
      </c>
      <c r="N9" s="60">
        <f>M9/12*10</f>
        <v>83.333333333333343</v>
      </c>
      <c r="O9" s="60">
        <v>80</v>
      </c>
      <c r="P9" s="60">
        <f>N9-O9</f>
        <v>3.3333333333333428</v>
      </c>
      <c r="Q9" s="63"/>
      <c r="R9" s="62">
        <v>100</v>
      </c>
      <c r="S9" s="60">
        <f>R9/12*10</f>
        <v>83.333333333333343</v>
      </c>
      <c r="T9" s="63">
        <v>80</v>
      </c>
      <c r="U9" s="63">
        <f>S9-T9</f>
        <v>3.3333333333333428</v>
      </c>
      <c r="V9" s="30"/>
      <c r="W9" s="75"/>
      <c r="X9" s="19"/>
    </row>
    <row r="10" spans="1:24" ht="15.75" x14ac:dyDescent="0.25">
      <c r="A10" s="58" t="s">
        <v>15</v>
      </c>
      <c r="B10" s="58" t="s">
        <v>167</v>
      </c>
      <c r="C10" s="59">
        <f>D10-G10</f>
        <v>163.75</v>
      </c>
      <c r="D10" s="329">
        <v>418</v>
      </c>
      <c r="E10" s="308"/>
      <c r="F10" s="59">
        <f>G10-M10</f>
        <v>4.25</v>
      </c>
      <c r="G10" s="85">
        <f>M10+(M10*$C$35)</f>
        <v>254.25</v>
      </c>
      <c r="H10" s="60">
        <f>G10/12*10</f>
        <v>211.875</v>
      </c>
      <c r="I10" s="346">
        <v>418</v>
      </c>
      <c r="J10" s="60">
        <f>H10-I10</f>
        <v>-206.125</v>
      </c>
      <c r="K10" s="63"/>
      <c r="L10" s="61">
        <f t="shared" si="0"/>
        <v>0</v>
      </c>
      <c r="M10" s="64">
        <v>250</v>
      </c>
      <c r="N10" s="60">
        <f>M10/12*10</f>
        <v>208.33333333333331</v>
      </c>
      <c r="O10" s="60">
        <v>0</v>
      </c>
      <c r="P10" s="60">
        <f>N10-O10</f>
        <v>208.33333333333331</v>
      </c>
      <c r="Q10" s="63"/>
      <c r="R10" s="62">
        <v>250</v>
      </c>
      <c r="S10" s="60">
        <f>R10/12*10</f>
        <v>208.33333333333331</v>
      </c>
      <c r="T10" s="63">
        <v>0</v>
      </c>
      <c r="U10" s="63">
        <f>S10-T10</f>
        <v>208.33333333333331</v>
      </c>
      <c r="V10" s="30"/>
      <c r="W10" s="148"/>
    </row>
    <row r="11" spans="1:24" ht="15.75" x14ac:dyDescent="0.25">
      <c r="A11" s="58" t="s">
        <v>155</v>
      </c>
      <c r="B11" s="58"/>
      <c r="C11" s="59">
        <f>D11-G11</f>
        <v>0</v>
      </c>
      <c r="D11" s="342">
        <v>168</v>
      </c>
      <c r="E11" s="310"/>
      <c r="F11" s="59">
        <f>G11-M11</f>
        <v>168</v>
      </c>
      <c r="G11" s="64">
        <f>140*1.2</f>
        <v>168</v>
      </c>
      <c r="H11" s="60">
        <f>G11/12*10</f>
        <v>140</v>
      </c>
      <c r="I11" s="346">
        <v>168</v>
      </c>
      <c r="J11" s="60">
        <f>H11-I11</f>
        <v>-28</v>
      </c>
      <c r="K11" s="63"/>
      <c r="L11" s="61">
        <f t="shared" si="0"/>
        <v>0</v>
      </c>
      <c r="M11" s="64">
        <v>0</v>
      </c>
      <c r="N11" s="60">
        <f>M11/12*10</f>
        <v>0</v>
      </c>
      <c r="O11" s="60">
        <v>0</v>
      </c>
      <c r="P11" s="60">
        <f>N11-O11</f>
        <v>0</v>
      </c>
      <c r="Q11" s="63"/>
      <c r="R11" s="62">
        <v>0</v>
      </c>
      <c r="S11" s="60">
        <f>R11/12*10</f>
        <v>0</v>
      </c>
      <c r="T11" s="63">
        <v>0</v>
      </c>
      <c r="U11" s="63">
        <f>S11-T11</f>
        <v>0</v>
      </c>
      <c r="V11" s="30"/>
      <c r="W11" s="77"/>
    </row>
    <row r="12" spans="1:24" ht="15.75" x14ac:dyDescent="0.25">
      <c r="A12" s="58"/>
      <c r="B12" s="58"/>
      <c r="C12" s="59"/>
      <c r="D12" s="310"/>
      <c r="E12" s="310"/>
      <c r="F12" s="59"/>
      <c r="G12" s="64"/>
      <c r="H12" s="60"/>
      <c r="I12" s="60"/>
      <c r="J12" s="60"/>
      <c r="K12" s="63"/>
      <c r="L12" s="61"/>
      <c r="M12" s="64"/>
      <c r="N12" s="60"/>
      <c r="O12" s="60"/>
      <c r="P12" s="60"/>
      <c r="Q12" s="63"/>
      <c r="R12" s="62"/>
      <c r="S12" s="63"/>
      <c r="T12" s="63"/>
      <c r="U12" s="63"/>
      <c r="V12" s="30"/>
      <c r="W12" s="37"/>
    </row>
    <row r="13" spans="1:24" s="132" customFormat="1" ht="16.5" thickBot="1" x14ac:dyDescent="0.3">
      <c r="A13" s="138" t="s">
        <v>170</v>
      </c>
      <c r="B13" s="57"/>
      <c r="C13" s="65">
        <f>SUM(C7:C12)</f>
        <v>266.05</v>
      </c>
      <c r="D13" s="66">
        <f>SUM(D7:D12)</f>
        <v>1336</v>
      </c>
      <c r="E13" s="71"/>
      <c r="F13" s="65">
        <f>SUM(F7:F12)</f>
        <v>169.95</v>
      </c>
      <c r="G13" s="66">
        <f>SUM(G7:G12)</f>
        <v>1069.95</v>
      </c>
      <c r="H13" s="68">
        <f t="shared" ref="H13:J13" si="1">SUM(H7:H12)</f>
        <v>891.625</v>
      </c>
      <c r="I13" s="68">
        <f t="shared" si="1"/>
        <v>1179</v>
      </c>
      <c r="J13" s="68">
        <f t="shared" si="1"/>
        <v>-287.375</v>
      </c>
      <c r="K13" s="67"/>
      <c r="L13" s="65">
        <f t="shared" ref="L13:P13" si="2">SUM(L7:L12)</f>
        <v>135</v>
      </c>
      <c r="M13" s="66">
        <f t="shared" si="2"/>
        <v>900</v>
      </c>
      <c r="N13" s="68">
        <f t="shared" si="2"/>
        <v>750</v>
      </c>
      <c r="O13" s="68">
        <f t="shared" si="2"/>
        <v>420.8</v>
      </c>
      <c r="P13" s="68">
        <f t="shared" si="2"/>
        <v>329.20000000000005</v>
      </c>
      <c r="Q13" s="67"/>
      <c r="R13" s="74">
        <f t="shared" ref="R13:U13" si="3">SUM(R7:R12)</f>
        <v>765</v>
      </c>
      <c r="S13" s="68">
        <f t="shared" si="3"/>
        <v>637.5</v>
      </c>
      <c r="T13" s="68">
        <f t="shared" si="3"/>
        <v>457.59</v>
      </c>
      <c r="U13" s="68">
        <f t="shared" si="3"/>
        <v>179.91000000000005</v>
      </c>
      <c r="V13" s="31"/>
      <c r="W13" s="45"/>
    </row>
    <row r="14" spans="1:24" x14ac:dyDescent="0.25">
      <c r="C14" s="115"/>
      <c r="F14" s="115"/>
      <c r="G14" s="116"/>
      <c r="H14" s="117"/>
      <c r="I14" s="117"/>
      <c r="J14" s="117"/>
      <c r="K14" s="117"/>
      <c r="L14" s="115"/>
      <c r="M14" s="116"/>
      <c r="N14" s="117"/>
      <c r="O14" s="117"/>
      <c r="P14" s="117"/>
      <c r="Q14" s="117"/>
      <c r="R14" s="116"/>
      <c r="S14" s="117"/>
      <c r="T14" s="117"/>
      <c r="U14" s="117"/>
      <c r="W14" s="37"/>
    </row>
    <row r="15" spans="1:24" x14ac:dyDescent="0.25">
      <c r="A15" s="49" t="s">
        <v>23</v>
      </c>
      <c r="C15" s="115"/>
      <c r="F15" s="115"/>
      <c r="G15" s="116"/>
      <c r="H15" s="117"/>
      <c r="I15" s="117"/>
      <c r="J15" s="117"/>
      <c r="K15" s="117"/>
      <c r="L15" s="115"/>
      <c r="M15" s="116"/>
      <c r="N15" s="117"/>
      <c r="O15" s="117"/>
      <c r="P15" s="117"/>
      <c r="Q15" s="117"/>
      <c r="R15" s="116"/>
      <c r="S15" s="117"/>
      <c r="T15" s="117"/>
      <c r="U15" s="117"/>
      <c r="W15" s="37"/>
    </row>
    <row r="16" spans="1:24" ht="15.75" x14ac:dyDescent="0.25">
      <c r="A16" s="50" t="s">
        <v>22</v>
      </c>
      <c r="B16" s="58"/>
      <c r="C16" s="59">
        <f t="shared" ref="C16:C22" si="4">D16-G16</f>
        <v>0</v>
      </c>
      <c r="D16" s="342">
        <v>500</v>
      </c>
      <c r="E16" s="310"/>
      <c r="F16" s="59">
        <f t="shared" ref="F16:F22" si="5">G16-M16</f>
        <v>-1300</v>
      </c>
      <c r="G16" s="116">
        <v>500</v>
      </c>
      <c r="H16" s="60">
        <f t="shared" ref="H16:H22" si="6">G16/12*10</f>
        <v>416.66666666666663</v>
      </c>
      <c r="I16" s="346">
        <v>1101</v>
      </c>
      <c r="J16" s="60">
        <f t="shared" ref="J16:J22" si="7">H16-I16</f>
        <v>-684.33333333333337</v>
      </c>
      <c r="K16" s="117"/>
      <c r="L16" s="61">
        <f t="shared" ref="L16:L22" si="8">M16-R16</f>
        <v>1400</v>
      </c>
      <c r="M16" s="116">
        <v>1800</v>
      </c>
      <c r="N16" s="60">
        <f t="shared" ref="N16:N22" si="9">M16/12*10</f>
        <v>1500</v>
      </c>
      <c r="O16" s="60">
        <v>4197.2299999999996</v>
      </c>
      <c r="P16" s="60">
        <f t="shared" ref="P16:P22" si="10">N16-O16</f>
        <v>-2697.2299999999996</v>
      </c>
      <c r="Q16" s="117"/>
      <c r="R16" s="116">
        <v>400</v>
      </c>
      <c r="S16" s="60">
        <f t="shared" ref="S16:S21" si="11">R16/12*10</f>
        <v>333.33333333333337</v>
      </c>
      <c r="T16" s="117">
        <v>191.58</v>
      </c>
      <c r="U16" s="63">
        <f t="shared" ref="U16:U21" si="12">S16-T16</f>
        <v>141.75333333333336</v>
      </c>
      <c r="W16" s="148"/>
    </row>
    <row r="17" spans="1:27" ht="15.75" x14ac:dyDescent="0.25">
      <c r="A17" s="50" t="s">
        <v>16</v>
      </c>
      <c r="B17" s="58" t="s">
        <v>167</v>
      </c>
      <c r="C17" s="59">
        <f t="shared" si="4"/>
        <v>-51.7</v>
      </c>
      <c r="D17" s="329">
        <v>50</v>
      </c>
      <c r="E17" s="308"/>
      <c r="F17" s="59">
        <f t="shared" si="5"/>
        <v>1.7000000000000028</v>
      </c>
      <c r="G17" s="85">
        <f>M17+(M17*$C$35)</f>
        <v>101.7</v>
      </c>
      <c r="H17" s="60">
        <f t="shared" si="6"/>
        <v>84.75</v>
      </c>
      <c r="I17" s="346">
        <v>0</v>
      </c>
      <c r="J17" s="60">
        <f t="shared" si="7"/>
        <v>84.75</v>
      </c>
      <c r="K17" s="117"/>
      <c r="L17" s="61">
        <f t="shared" si="8"/>
        <v>50</v>
      </c>
      <c r="M17" s="116">
        <v>100</v>
      </c>
      <c r="N17" s="60">
        <f t="shared" si="9"/>
        <v>83.333333333333343</v>
      </c>
      <c r="O17" s="60">
        <v>23.88</v>
      </c>
      <c r="P17" s="60">
        <f t="shared" si="10"/>
        <v>59.453333333333347</v>
      </c>
      <c r="Q17" s="117"/>
      <c r="R17" s="116">
        <v>50</v>
      </c>
      <c r="S17" s="60">
        <f t="shared" si="11"/>
        <v>41.666666666666671</v>
      </c>
      <c r="T17" s="117">
        <v>140</v>
      </c>
      <c r="U17" s="63">
        <f t="shared" si="12"/>
        <v>-98.333333333333329</v>
      </c>
      <c r="W17" s="37"/>
    </row>
    <row r="18" spans="1:27" ht="15.75" x14ac:dyDescent="0.25">
      <c r="A18" s="50" t="s">
        <v>24</v>
      </c>
      <c r="B18" s="58" t="s">
        <v>167</v>
      </c>
      <c r="C18" s="59">
        <f t="shared" si="4"/>
        <v>0.14999999999999858</v>
      </c>
      <c r="D18" s="329">
        <v>51</v>
      </c>
      <c r="E18" s="308"/>
      <c r="F18" s="59">
        <f t="shared" si="5"/>
        <v>0.85000000000000142</v>
      </c>
      <c r="G18" s="85">
        <f>M18+(M18*$C$35)</f>
        <v>50.85</v>
      </c>
      <c r="H18" s="60">
        <f t="shared" si="6"/>
        <v>42.375</v>
      </c>
      <c r="I18" s="346">
        <v>50</v>
      </c>
      <c r="J18" s="60">
        <f t="shared" si="7"/>
        <v>-7.625</v>
      </c>
      <c r="K18" s="117"/>
      <c r="L18" s="61">
        <f t="shared" si="8"/>
        <v>0</v>
      </c>
      <c r="M18" s="116">
        <v>50</v>
      </c>
      <c r="N18" s="60">
        <f t="shared" si="9"/>
        <v>41.666666666666671</v>
      </c>
      <c r="O18" s="60">
        <v>30</v>
      </c>
      <c r="P18" s="60">
        <f t="shared" si="10"/>
        <v>11.666666666666671</v>
      </c>
      <c r="Q18" s="117"/>
      <c r="R18" s="116">
        <v>50</v>
      </c>
      <c r="S18" s="60">
        <f t="shared" si="11"/>
        <v>41.666666666666671</v>
      </c>
      <c r="T18" s="117">
        <v>190</v>
      </c>
      <c r="U18" s="63">
        <f t="shared" si="12"/>
        <v>-148.33333333333331</v>
      </c>
      <c r="W18" s="37"/>
    </row>
    <row r="19" spans="1:27" ht="15.75" x14ac:dyDescent="0.25">
      <c r="A19" s="50" t="s">
        <v>25</v>
      </c>
      <c r="B19" s="58" t="s">
        <v>167</v>
      </c>
      <c r="C19" s="59">
        <f t="shared" si="4"/>
        <v>449.15</v>
      </c>
      <c r="D19" s="329">
        <v>500</v>
      </c>
      <c r="E19" s="308"/>
      <c r="F19" s="59">
        <f t="shared" si="5"/>
        <v>0.85000000000000142</v>
      </c>
      <c r="G19" s="85">
        <f>M19+(M19*$C$35)</f>
        <v>50.85</v>
      </c>
      <c r="H19" s="60">
        <f t="shared" si="6"/>
        <v>42.375</v>
      </c>
      <c r="I19" s="346">
        <v>761</v>
      </c>
      <c r="J19" s="60">
        <f t="shared" si="7"/>
        <v>-718.625</v>
      </c>
      <c r="K19" s="117"/>
      <c r="L19" s="61">
        <f t="shared" si="8"/>
        <v>0</v>
      </c>
      <c r="M19" s="116">
        <v>50</v>
      </c>
      <c r="N19" s="60">
        <f t="shared" si="9"/>
        <v>41.666666666666671</v>
      </c>
      <c r="O19" s="60">
        <v>111.8</v>
      </c>
      <c r="P19" s="60">
        <f t="shared" si="10"/>
        <v>-70.133333333333326</v>
      </c>
      <c r="Q19" s="117"/>
      <c r="R19" s="116">
        <v>50</v>
      </c>
      <c r="S19" s="60">
        <f t="shared" si="11"/>
        <v>41.666666666666671</v>
      </c>
      <c r="T19" s="117">
        <v>48</v>
      </c>
      <c r="U19" s="63">
        <f t="shared" si="12"/>
        <v>-6.3333333333333286</v>
      </c>
    </row>
    <row r="20" spans="1:27" ht="15.75" x14ac:dyDescent="0.25">
      <c r="A20" s="50" t="s">
        <v>12</v>
      </c>
      <c r="B20" s="58" t="s">
        <v>167</v>
      </c>
      <c r="C20" s="59">
        <f t="shared" si="4"/>
        <v>-1.7000000000000028</v>
      </c>
      <c r="D20" s="329">
        <v>100</v>
      </c>
      <c r="E20" s="308"/>
      <c r="F20" s="59">
        <f t="shared" si="5"/>
        <v>1.7000000000000028</v>
      </c>
      <c r="G20" s="85">
        <f>M20+(M20*$C$35)</f>
        <v>101.7</v>
      </c>
      <c r="H20" s="60">
        <f t="shared" si="6"/>
        <v>84.75</v>
      </c>
      <c r="I20" s="346">
        <v>188</v>
      </c>
      <c r="J20" s="60">
        <f t="shared" si="7"/>
        <v>-103.25</v>
      </c>
      <c r="K20" s="117"/>
      <c r="L20" s="61">
        <f t="shared" si="8"/>
        <v>47</v>
      </c>
      <c r="M20" s="116">
        <v>100</v>
      </c>
      <c r="N20" s="60">
        <f t="shared" si="9"/>
        <v>83.333333333333343</v>
      </c>
      <c r="O20" s="60">
        <v>90</v>
      </c>
      <c r="P20" s="60">
        <f t="shared" si="10"/>
        <v>-6.6666666666666572</v>
      </c>
      <c r="Q20" s="117"/>
      <c r="R20" s="116">
        <v>53</v>
      </c>
      <c r="S20" s="60">
        <f t="shared" si="11"/>
        <v>44.166666666666671</v>
      </c>
      <c r="T20" s="117">
        <v>90</v>
      </c>
      <c r="U20" s="63">
        <f t="shared" si="12"/>
        <v>-45.833333333333329</v>
      </c>
      <c r="W20" s="37"/>
    </row>
    <row r="21" spans="1:27" ht="15.75" x14ac:dyDescent="0.25">
      <c r="A21" s="146" t="s">
        <v>125</v>
      </c>
      <c r="C21" s="59">
        <f t="shared" si="4"/>
        <v>0</v>
      </c>
      <c r="D21" s="328"/>
      <c r="F21" s="59">
        <f t="shared" si="5"/>
        <v>0</v>
      </c>
      <c r="G21" s="116">
        <v>0</v>
      </c>
      <c r="H21" s="60">
        <f t="shared" si="6"/>
        <v>0</v>
      </c>
      <c r="I21" s="346"/>
      <c r="J21" s="60">
        <f t="shared" si="7"/>
        <v>0</v>
      </c>
      <c r="K21" s="117"/>
      <c r="L21" s="61">
        <f t="shared" si="8"/>
        <v>0</v>
      </c>
      <c r="M21" s="116">
        <v>0</v>
      </c>
      <c r="N21" s="60">
        <f t="shared" si="9"/>
        <v>0</v>
      </c>
      <c r="O21" s="60">
        <v>1013.13</v>
      </c>
      <c r="P21" s="60">
        <f t="shared" si="10"/>
        <v>-1013.13</v>
      </c>
      <c r="Q21" s="117"/>
      <c r="R21" s="116">
        <v>0</v>
      </c>
      <c r="S21" s="60">
        <f t="shared" si="11"/>
        <v>0</v>
      </c>
      <c r="T21" s="117">
        <v>527.48</v>
      </c>
      <c r="U21" s="63">
        <f t="shared" si="12"/>
        <v>-527.48</v>
      </c>
      <c r="W21" s="37"/>
      <c r="AA21" s="48"/>
    </row>
    <row r="22" spans="1:27" ht="15.75" x14ac:dyDescent="0.25">
      <c r="A22" s="146" t="s">
        <v>160</v>
      </c>
      <c r="C22" s="59">
        <f t="shared" si="4"/>
        <v>-64.38095238095238</v>
      </c>
      <c r="D22" s="328">
        <v>0</v>
      </c>
      <c r="F22" s="59">
        <f t="shared" si="5"/>
        <v>64.38095238095238</v>
      </c>
      <c r="G22" s="116">
        <f>Reserves!X14</f>
        <v>64.38095238095238</v>
      </c>
      <c r="H22" s="60">
        <f t="shared" si="6"/>
        <v>53.650793650793645</v>
      </c>
      <c r="I22" s="346">
        <v>150</v>
      </c>
      <c r="J22" s="60">
        <f t="shared" si="7"/>
        <v>-96.349206349206355</v>
      </c>
      <c r="K22" s="117"/>
      <c r="L22" s="61">
        <f t="shared" si="8"/>
        <v>0</v>
      </c>
      <c r="M22" s="116">
        <v>0</v>
      </c>
      <c r="N22" s="60">
        <f t="shared" si="9"/>
        <v>0</v>
      </c>
      <c r="O22" s="60">
        <v>0</v>
      </c>
      <c r="P22" s="60">
        <f t="shared" si="10"/>
        <v>0</v>
      </c>
      <c r="Q22" s="117"/>
      <c r="R22" s="116"/>
      <c r="S22" s="117"/>
      <c r="T22" s="117"/>
      <c r="U22" s="117"/>
      <c r="W22" s="37"/>
    </row>
    <row r="23" spans="1:27" ht="15.75" x14ac:dyDescent="0.25">
      <c r="A23" s="146" t="s">
        <v>287</v>
      </c>
      <c r="C23" s="59"/>
      <c r="D23" s="328">
        <v>0</v>
      </c>
      <c r="F23" s="59"/>
      <c r="G23" s="116"/>
      <c r="H23" s="60"/>
      <c r="I23" s="346">
        <v>1268</v>
      </c>
      <c r="J23" s="60"/>
      <c r="K23" s="117"/>
      <c r="L23" s="61"/>
      <c r="M23" s="116"/>
      <c r="N23" s="60"/>
      <c r="O23" s="60"/>
      <c r="P23" s="60"/>
      <c r="Q23" s="117"/>
      <c r="R23" s="116"/>
      <c r="S23" s="117"/>
      <c r="T23" s="117"/>
      <c r="U23" s="117"/>
      <c r="W23" s="37"/>
    </row>
    <row r="24" spans="1:27" x14ac:dyDescent="0.25">
      <c r="A24" s="146"/>
      <c r="C24" s="115"/>
      <c r="F24" s="115"/>
      <c r="G24" s="116"/>
      <c r="H24" s="117"/>
      <c r="I24" s="117"/>
      <c r="J24" s="117"/>
      <c r="K24" s="117"/>
      <c r="L24" s="115"/>
      <c r="M24" s="116"/>
      <c r="N24" s="117"/>
      <c r="O24" s="117"/>
      <c r="P24" s="117"/>
      <c r="Q24" s="117"/>
      <c r="R24" s="116"/>
      <c r="S24" s="117"/>
      <c r="T24" s="117"/>
      <c r="U24" s="117"/>
      <c r="W24" s="37"/>
    </row>
    <row r="25" spans="1:27" s="132" customFormat="1" ht="15.75" thickBot="1" x14ac:dyDescent="0.3">
      <c r="A25" s="138" t="s">
        <v>171</v>
      </c>
      <c r="C25" s="139">
        <f>SUM(C15:C24)</f>
        <v>331.51904761904757</v>
      </c>
      <c r="D25" s="140">
        <f>SUM(D15:D24)</f>
        <v>1201</v>
      </c>
      <c r="E25" s="321"/>
      <c r="F25" s="139">
        <f>SUM(F15:F24)</f>
        <v>-1230.5190476190478</v>
      </c>
      <c r="G25" s="140">
        <f>SUM(G15:G24)</f>
        <v>869.48095238095254</v>
      </c>
      <c r="H25" s="138">
        <f>SUM(H15:H24)</f>
        <v>724.56746031746025</v>
      </c>
      <c r="I25" s="138">
        <f>SUM(I15:I24)</f>
        <v>3518</v>
      </c>
      <c r="J25" s="138">
        <f>SUM(J15:J24)</f>
        <v>-1525.4325396825398</v>
      </c>
      <c r="K25" s="141"/>
      <c r="L25" s="139">
        <f>SUM(L15:L24)</f>
        <v>1497</v>
      </c>
      <c r="M25" s="140">
        <f>SUM(M15:M24)</f>
        <v>2100</v>
      </c>
      <c r="N25" s="138">
        <f>SUM(N15:N24)</f>
        <v>1750</v>
      </c>
      <c r="O25" s="138">
        <f>SUM(O15:O24)</f>
        <v>5466.04</v>
      </c>
      <c r="P25" s="138">
        <f>SUM(P15:P24)</f>
        <v>-3716.0399999999995</v>
      </c>
      <c r="Q25" s="141"/>
      <c r="R25" s="140">
        <f>SUM(R15:R24)</f>
        <v>603</v>
      </c>
      <c r="S25" s="138">
        <f>SUM(S15:S24)</f>
        <v>502.50000000000011</v>
      </c>
      <c r="T25" s="138">
        <f>SUM(T15:T24)</f>
        <v>1187.06</v>
      </c>
      <c r="U25" s="138">
        <f>SUM(U15:U24)</f>
        <v>-684.56</v>
      </c>
      <c r="W25" s="45"/>
    </row>
    <row r="26" spans="1:27" x14ac:dyDescent="0.25">
      <c r="A26" s="35"/>
      <c r="C26" s="123"/>
      <c r="F26" s="123"/>
      <c r="G26" s="116"/>
      <c r="H26" s="117"/>
      <c r="I26" s="117"/>
      <c r="J26" s="117"/>
      <c r="K26" s="117"/>
      <c r="L26" s="115"/>
      <c r="M26" s="124"/>
      <c r="N26" s="117"/>
      <c r="O26" s="117"/>
      <c r="P26" s="117"/>
      <c r="Q26" s="117"/>
      <c r="R26" s="124"/>
      <c r="S26" s="117"/>
      <c r="T26" s="125"/>
      <c r="U26" s="117"/>
      <c r="W26" s="37"/>
    </row>
    <row r="27" spans="1:27" ht="15.75" x14ac:dyDescent="0.25">
      <c r="A27" s="50" t="s">
        <v>90</v>
      </c>
      <c r="C27" s="59">
        <f>D27-G27</f>
        <v>0</v>
      </c>
      <c r="D27" s="331">
        <f>G27</f>
        <v>670</v>
      </c>
      <c r="E27" s="305"/>
      <c r="F27" s="59">
        <f>G27-M27</f>
        <v>0</v>
      </c>
      <c r="G27" s="116">
        <v>670</v>
      </c>
      <c r="H27" s="60">
        <f>G27/12*10</f>
        <v>558.33333333333337</v>
      </c>
      <c r="I27" s="346"/>
      <c r="J27" s="60">
        <f>H27-I27</f>
        <v>558.33333333333337</v>
      </c>
      <c r="K27" s="117"/>
      <c r="L27" s="61">
        <f>M27-R27</f>
        <v>0</v>
      </c>
      <c r="M27" s="116">
        <v>670</v>
      </c>
      <c r="N27" s="60">
        <f>M27/12*10</f>
        <v>558.33333333333337</v>
      </c>
      <c r="O27" s="60">
        <v>0</v>
      </c>
      <c r="P27" s="60">
        <f>N27-O27</f>
        <v>558.33333333333337</v>
      </c>
      <c r="Q27" s="117"/>
      <c r="R27" s="116">
        <v>670</v>
      </c>
      <c r="S27" s="60">
        <f>R27/12*10</f>
        <v>558.33333333333337</v>
      </c>
      <c r="T27" s="117">
        <v>0</v>
      </c>
      <c r="U27" s="63">
        <f>S27-T27</f>
        <v>558.33333333333337</v>
      </c>
      <c r="W27" s="37"/>
    </row>
    <row r="28" spans="1:27" x14ac:dyDescent="0.25">
      <c r="A28" s="50"/>
      <c r="C28" s="115"/>
      <c r="F28" s="115"/>
      <c r="G28" s="116"/>
      <c r="H28" s="117"/>
      <c r="I28" s="117"/>
      <c r="J28" s="117"/>
      <c r="K28" s="117"/>
      <c r="L28" s="115"/>
      <c r="M28" s="116"/>
      <c r="N28" s="117"/>
      <c r="O28" s="117"/>
      <c r="P28" s="117"/>
      <c r="Q28" s="117"/>
      <c r="R28" s="116"/>
      <c r="S28" s="117"/>
      <c r="T28" s="117"/>
      <c r="U28" s="117"/>
      <c r="W28" s="37"/>
    </row>
    <row r="29" spans="1:27" s="132" customFormat="1" ht="15.75" thickBot="1" x14ac:dyDescent="0.3">
      <c r="A29" s="138" t="s">
        <v>169</v>
      </c>
      <c r="C29" s="139">
        <f>C13+C25+C27</f>
        <v>597.56904761904752</v>
      </c>
      <c r="D29" s="140">
        <f>D13+D25+D27</f>
        <v>3207</v>
      </c>
      <c r="E29" s="321"/>
      <c r="F29" s="139">
        <f>F13+F25+F27</f>
        <v>-1060.5690476190478</v>
      </c>
      <c r="G29" s="140">
        <f>G13+G25+G27</f>
        <v>2609.4309523809525</v>
      </c>
      <c r="H29" s="138">
        <f>H13+H25+H27</f>
        <v>2174.5257936507937</v>
      </c>
      <c r="I29" s="138">
        <f>I13+I25+I27</f>
        <v>4697</v>
      </c>
      <c r="J29" s="138">
        <f>J13+J25+J27</f>
        <v>-1254.4742063492063</v>
      </c>
      <c r="K29" s="141"/>
      <c r="L29" s="139">
        <f>L13+L25+L27</f>
        <v>1632</v>
      </c>
      <c r="M29" s="140">
        <f>M13+M25+M27</f>
        <v>3670</v>
      </c>
      <c r="N29" s="138">
        <f>N13+N25+N27</f>
        <v>3058.3333333333335</v>
      </c>
      <c r="O29" s="138">
        <f>O13+O25+O27</f>
        <v>5886.84</v>
      </c>
      <c r="P29" s="138">
        <f>P13+P25+P27</f>
        <v>-2828.5066666666658</v>
      </c>
      <c r="Q29" s="141"/>
      <c r="R29" s="140">
        <f>R13+R25+R27</f>
        <v>2038</v>
      </c>
      <c r="S29" s="138">
        <f>S13+S25+S27</f>
        <v>1698.3333333333335</v>
      </c>
      <c r="T29" s="138">
        <f>T13+T25+T27</f>
        <v>1644.6499999999999</v>
      </c>
      <c r="U29" s="138">
        <f>U13+U25+U27</f>
        <v>53.683333333333508</v>
      </c>
      <c r="W29" s="149"/>
    </row>
    <row r="30" spans="1:27" x14ac:dyDescent="0.25">
      <c r="C30" s="123"/>
      <c r="F30" s="123"/>
      <c r="G30" s="116"/>
      <c r="H30" s="117"/>
      <c r="I30" s="117"/>
      <c r="J30" s="117"/>
      <c r="K30" s="117"/>
      <c r="L30" s="115"/>
      <c r="M30" s="124"/>
      <c r="N30" s="117"/>
      <c r="O30" s="117"/>
      <c r="P30" s="117"/>
      <c r="Q30" s="117"/>
      <c r="R30" s="124"/>
      <c r="S30" s="117"/>
      <c r="T30" s="125"/>
      <c r="U30" s="117"/>
    </row>
    <row r="31" spans="1:27" ht="15.75" x14ac:dyDescent="0.25">
      <c r="A31" s="50" t="s">
        <v>100</v>
      </c>
      <c r="C31" s="59">
        <f>D31-G31</f>
        <v>-177.5</v>
      </c>
      <c r="D31" s="363">
        <f>Reserves!F14</f>
        <v>3017.5</v>
      </c>
      <c r="E31" s="305"/>
      <c r="F31" s="59">
        <f>G31-M31</f>
        <v>-355</v>
      </c>
      <c r="G31" s="116">
        <v>3195</v>
      </c>
      <c r="H31" s="60">
        <f>G31/12*10</f>
        <v>2662.5</v>
      </c>
      <c r="I31" s="346"/>
      <c r="J31" s="60">
        <f>H31-I31</f>
        <v>2662.5</v>
      </c>
      <c r="K31" s="117"/>
      <c r="L31" s="61">
        <f>M31-R31</f>
        <v>0</v>
      </c>
      <c r="M31" s="116">
        <v>3550</v>
      </c>
      <c r="N31" s="60">
        <f>M31/12*10</f>
        <v>2958.333333333333</v>
      </c>
      <c r="O31" s="60">
        <v>0</v>
      </c>
      <c r="P31" s="60">
        <f>N31-O31</f>
        <v>2958.333333333333</v>
      </c>
      <c r="Q31" s="117"/>
      <c r="R31" s="116">
        <v>3550</v>
      </c>
      <c r="S31" s="60">
        <f>R31/12*10</f>
        <v>2958.333333333333</v>
      </c>
      <c r="T31" s="117">
        <v>2662.5</v>
      </c>
      <c r="U31" s="63">
        <f>S31-T31</f>
        <v>295.83333333333303</v>
      </c>
    </row>
    <row r="32" spans="1:27" x14ac:dyDescent="0.25">
      <c r="A32" s="50"/>
      <c r="C32" s="115"/>
      <c r="F32" s="115"/>
      <c r="G32" s="116"/>
      <c r="H32" s="117"/>
      <c r="I32" s="117"/>
      <c r="J32" s="117"/>
      <c r="K32" s="117"/>
      <c r="L32" s="115"/>
      <c r="M32" s="116"/>
      <c r="N32" s="117"/>
      <c r="O32" s="117"/>
      <c r="P32" s="117"/>
      <c r="Q32" s="117"/>
      <c r="R32" s="116"/>
      <c r="S32" s="117"/>
      <c r="T32" s="117"/>
      <c r="U32" s="117"/>
    </row>
    <row r="33" spans="1:24" s="132" customFormat="1" ht="15.75" thickBot="1" x14ac:dyDescent="0.3">
      <c r="A33" s="138" t="s">
        <v>1</v>
      </c>
      <c r="C33" s="128">
        <f t="shared" ref="C33" si="13">SUM(C29:C32)</f>
        <v>420.06904761904752</v>
      </c>
      <c r="D33" s="129">
        <f t="shared" ref="D33" si="14">SUM(D29:D32)</f>
        <v>6224.5</v>
      </c>
      <c r="E33" s="322"/>
      <c r="F33" s="128">
        <f>SUM(F29:F32)</f>
        <v>-1415.5690476190478</v>
      </c>
      <c r="G33" s="129">
        <f>SUM(G29:G32)</f>
        <v>5804.4309523809525</v>
      </c>
      <c r="H33" s="130">
        <f t="shared" ref="H33:J33" si="15">SUM(H29:H32)</f>
        <v>4837.0257936507933</v>
      </c>
      <c r="I33" s="130">
        <f t="shared" si="15"/>
        <v>4697</v>
      </c>
      <c r="J33" s="130">
        <f t="shared" si="15"/>
        <v>1408.0257936507937</v>
      </c>
      <c r="K33" s="141"/>
      <c r="L33" s="128">
        <f t="shared" ref="L33:P33" si="16">SUM(L29:L32)</f>
        <v>1632</v>
      </c>
      <c r="M33" s="129">
        <f t="shared" si="16"/>
        <v>7220</v>
      </c>
      <c r="N33" s="130">
        <f t="shared" si="16"/>
        <v>6016.6666666666661</v>
      </c>
      <c r="O33" s="130">
        <f t="shared" si="16"/>
        <v>5886.84</v>
      </c>
      <c r="P33" s="130">
        <f t="shared" si="16"/>
        <v>129.82666666666728</v>
      </c>
      <c r="Q33" s="141"/>
      <c r="R33" s="129">
        <f>SUM(R29:R32)</f>
        <v>5588</v>
      </c>
      <c r="S33" s="130">
        <f t="shared" ref="S33:U33" si="17">SUM(S29:S32)</f>
        <v>4656.6666666666661</v>
      </c>
      <c r="T33" s="130">
        <f t="shared" si="17"/>
        <v>4307.1499999999996</v>
      </c>
      <c r="U33" s="130">
        <f t="shared" si="17"/>
        <v>349.51666666666654</v>
      </c>
      <c r="W33" s="158">
        <f>SUM(B33:V33)</f>
        <v>57762.149206349219</v>
      </c>
      <c r="X33" s="159" t="s">
        <v>174</v>
      </c>
    </row>
    <row r="35" spans="1:24" x14ac:dyDescent="0.25">
      <c r="A35" s="5" t="s">
        <v>166</v>
      </c>
      <c r="B35" s="5"/>
      <c r="C35" s="100">
        <f>Summary!$C$25</f>
        <v>1.7000000000000001E-2</v>
      </c>
      <c r="D35" s="306"/>
      <c r="E35" s="306"/>
      <c r="F35" s="306"/>
      <c r="G35" s="306"/>
      <c r="H35" s="306"/>
    </row>
    <row r="38" spans="1:24" ht="18.75" x14ac:dyDescent="0.25">
      <c r="A38" s="351" t="s">
        <v>267</v>
      </c>
      <c r="B38" s="352"/>
      <c r="C38" s="353" t="s">
        <v>236</v>
      </c>
      <c r="D38" s="354" t="s">
        <v>237</v>
      </c>
      <c r="F38" s="356" t="s">
        <v>268</v>
      </c>
    </row>
    <row r="39" spans="1:24" ht="30" x14ac:dyDescent="0.25">
      <c r="A39" s="369" t="s">
        <v>302</v>
      </c>
      <c r="B39" s="237"/>
      <c r="C39" s="239"/>
      <c r="D39" s="239"/>
    </row>
    <row r="40" spans="1:24" x14ac:dyDescent="0.25">
      <c r="A40" s="192"/>
      <c r="B40" s="237"/>
      <c r="C40" s="239"/>
      <c r="D40" s="239"/>
    </row>
    <row r="41" spans="1:24" x14ac:dyDescent="0.25">
      <c r="A41" s="192"/>
      <c r="B41" s="237"/>
      <c r="C41" s="238"/>
      <c r="D41" s="239"/>
    </row>
    <row r="42" spans="1:24" x14ac:dyDescent="0.25">
      <c r="A42" s="192"/>
      <c r="B42" s="237"/>
      <c r="C42" s="238"/>
      <c r="D42" s="239"/>
    </row>
    <row r="43" spans="1:24" x14ac:dyDescent="0.25">
      <c r="A43" s="194"/>
      <c r="B43" s="193"/>
      <c r="C43" s="191"/>
      <c r="D43" s="191"/>
    </row>
    <row r="44" spans="1:24" x14ac:dyDescent="0.25">
      <c r="A44" s="194"/>
      <c r="B44" s="193"/>
      <c r="C44" s="191"/>
      <c r="D44" s="191"/>
    </row>
    <row r="45" spans="1:24" x14ac:dyDescent="0.25">
      <c r="A45" s="194"/>
      <c r="B45" s="193"/>
      <c r="C45" s="191"/>
      <c r="D45" s="191"/>
    </row>
    <row r="46" spans="1:24" x14ac:dyDescent="0.25">
      <c r="A46" s="194"/>
      <c r="B46" s="193"/>
      <c r="C46" s="191"/>
      <c r="D46" s="191"/>
    </row>
    <row r="47" spans="1:24" x14ac:dyDescent="0.25">
      <c r="A47" s="194"/>
      <c r="B47" s="193"/>
      <c r="C47" s="191"/>
      <c r="D47" s="191"/>
    </row>
    <row r="48" spans="1:24" x14ac:dyDescent="0.25">
      <c r="A48" s="221"/>
      <c r="B48" s="237"/>
      <c r="C48" s="238"/>
      <c r="D48" s="238"/>
    </row>
    <row r="49" spans="1:6" x14ac:dyDescent="0.25">
      <c r="A49" s="240" t="s">
        <v>201</v>
      </c>
      <c r="B49" s="241"/>
      <c r="C49" s="242">
        <f>SUM(C39:C48)</f>
        <v>0</v>
      </c>
      <c r="D49" s="242">
        <f>SUM(D39:D48)</f>
        <v>0</v>
      </c>
    </row>
    <row r="50" spans="1:6" x14ac:dyDescent="0.25">
      <c r="A50" s="295"/>
      <c r="B50" s="226"/>
      <c r="C50" s="226"/>
      <c r="D50" s="303"/>
    </row>
    <row r="51" spans="1:6" ht="30" customHeight="1" x14ac:dyDescent="0.25">
      <c r="A51" s="414"/>
      <c r="B51" s="415"/>
      <c r="C51" s="415"/>
      <c r="D51" s="415"/>
      <c r="E51" s="425"/>
      <c r="F51" s="425"/>
    </row>
    <row r="52" spans="1:6" ht="30" customHeight="1" x14ac:dyDescent="0.25">
      <c r="A52" s="414"/>
      <c r="B52" s="415"/>
      <c r="C52" s="415"/>
      <c r="D52" s="415"/>
      <c r="E52" s="425"/>
      <c r="F52" s="425"/>
    </row>
    <row r="53" spans="1:6" ht="30" customHeight="1" x14ac:dyDescent="0.25">
      <c r="A53" s="414"/>
      <c r="B53" s="415"/>
      <c r="C53" s="415"/>
      <c r="D53" s="415"/>
      <c r="E53" s="425"/>
      <c r="F53" s="425"/>
    </row>
  </sheetData>
  <mergeCells count="17">
    <mergeCell ref="G4:H4"/>
    <mergeCell ref="H5:J5"/>
    <mergeCell ref="F3:J3"/>
    <mergeCell ref="R3:U3"/>
    <mergeCell ref="F4:F5"/>
    <mergeCell ref="L4:L5"/>
    <mergeCell ref="M4:N4"/>
    <mergeCell ref="R4:S4"/>
    <mergeCell ref="N5:P5"/>
    <mergeCell ref="S5:U5"/>
    <mergeCell ref="L3:P3"/>
    <mergeCell ref="A51:F51"/>
    <mergeCell ref="A52:F52"/>
    <mergeCell ref="A53:F53"/>
    <mergeCell ref="C3:D3"/>
    <mergeCell ref="C4:C5"/>
    <mergeCell ref="D4:D5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89" orientation="landscape" horizont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C67"/>
  <sheetViews>
    <sheetView showGridLines="0" zoomScale="80" zoomScaleNormal="80" workbookViewId="0">
      <pane ySplit="5" topLeftCell="A6" activePane="bottomLeft" state="frozen"/>
      <selection pane="bottomLeft" activeCell="AC28" sqref="AC28"/>
    </sheetView>
  </sheetViews>
  <sheetFormatPr defaultColWidth="9.140625" defaultRowHeight="15" x14ac:dyDescent="0.25"/>
  <cols>
    <col min="1" max="1" width="40.7109375" style="32" customWidth="1"/>
    <col min="2" max="2" width="2.7109375" style="32" customWidth="1"/>
    <col min="3" max="3" width="11.7109375" style="32" customWidth="1"/>
    <col min="4" max="4" width="11.7109375" style="34" customWidth="1"/>
    <col min="5" max="5" width="2.7109375" style="34" customWidth="1"/>
    <col min="6" max="8" width="11.7109375" style="34" customWidth="1"/>
    <col min="9" max="10" width="11.7109375" style="32" customWidth="1"/>
    <col min="11" max="11" width="2.7109375" style="32" customWidth="1"/>
    <col min="12" max="16" width="11.7109375" style="32" customWidth="1"/>
    <col min="17" max="17" width="2.7109375" style="32" customWidth="1"/>
    <col min="18" max="21" width="11.7109375" style="32" customWidth="1"/>
    <col min="22" max="22" width="2.7109375" style="32" customWidth="1"/>
    <col min="23" max="16384" width="9.140625" style="32"/>
  </cols>
  <sheetData>
    <row r="1" spans="1:24" ht="21" x14ac:dyDescent="0.25">
      <c r="A1" s="53" t="s">
        <v>126</v>
      </c>
      <c r="B1" s="151"/>
      <c r="C1" s="151"/>
      <c r="D1" s="308"/>
      <c r="E1" s="308"/>
      <c r="F1" s="308"/>
      <c r="G1" s="308"/>
      <c r="H1" s="308"/>
      <c r="I1" s="55"/>
      <c r="J1" s="55"/>
      <c r="K1" s="55"/>
      <c r="L1" s="55"/>
      <c r="M1" s="56" t="s">
        <v>242</v>
      </c>
      <c r="N1" s="5"/>
      <c r="O1" s="195">
        <v>32</v>
      </c>
      <c r="P1" s="5"/>
      <c r="Q1" s="5"/>
      <c r="R1" s="5"/>
      <c r="S1" s="5"/>
      <c r="T1" s="5"/>
      <c r="U1" s="5"/>
      <c r="V1" s="5"/>
      <c r="W1" s="5"/>
    </row>
    <row r="2" spans="1:24" x14ac:dyDescent="0.25">
      <c r="B2" s="55"/>
      <c r="C2" s="55"/>
      <c r="D2" s="302"/>
      <c r="E2" s="302"/>
      <c r="F2" s="302"/>
      <c r="G2" s="302"/>
      <c r="H2" s="302"/>
      <c r="I2" s="55"/>
      <c r="J2" s="55"/>
      <c r="K2" s="55"/>
      <c r="L2" s="55"/>
      <c r="M2" s="54"/>
      <c r="N2" s="295"/>
      <c r="O2" s="295"/>
      <c r="P2" s="295"/>
      <c r="Q2" s="295"/>
      <c r="R2" s="295"/>
      <c r="S2" s="295"/>
      <c r="T2" s="295"/>
      <c r="U2" s="295"/>
      <c r="V2" s="295"/>
      <c r="W2" s="295"/>
    </row>
    <row r="3" spans="1:24" s="132" customFormat="1" ht="21" x14ac:dyDescent="0.25">
      <c r="A3" s="56" t="s">
        <v>250</v>
      </c>
      <c r="B3" s="334"/>
      <c r="C3" s="403">
        <v>2020</v>
      </c>
      <c r="D3" s="404"/>
      <c r="E3" s="335"/>
      <c r="F3" s="403">
        <v>2019</v>
      </c>
      <c r="G3" s="405"/>
      <c r="H3" s="423"/>
      <c r="I3" s="423"/>
      <c r="J3" s="424"/>
      <c r="K3" s="335"/>
      <c r="L3" s="403">
        <v>2018</v>
      </c>
      <c r="M3" s="423"/>
      <c r="N3" s="423"/>
      <c r="O3" s="423"/>
      <c r="P3" s="424"/>
      <c r="Q3" s="334"/>
      <c r="R3" s="403">
        <v>2017</v>
      </c>
      <c r="S3" s="405"/>
      <c r="T3" s="405"/>
      <c r="U3" s="404"/>
      <c r="V3" s="335"/>
      <c r="W3" s="337" t="s">
        <v>98</v>
      </c>
    </row>
    <row r="4" spans="1:24" x14ac:dyDescent="0.25">
      <c r="A4" s="23"/>
      <c r="B4" s="23"/>
      <c r="C4" s="420" t="s">
        <v>261</v>
      </c>
      <c r="D4" s="401" t="s">
        <v>44</v>
      </c>
      <c r="E4" s="290"/>
      <c r="F4" s="420" t="s">
        <v>165</v>
      </c>
      <c r="G4" s="419" t="s">
        <v>163</v>
      </c>
      <c r="H4" s="419"/>
      <c r="I4" s="292" t="s">
        <v>118</v>
      </c>
      <c r="J4" s="292" t="s">
        <v>97</v>
      </c>
      <c r="K4" s="292"/>
      <c r="L4" s="420" t="s">
        <v>164</v>
      </c>
      <c r="M4" s="409" t="s">
        <v>163</v>
      </c>
      <c r="N4" s="409"/>
      <c r="O4" s="24" t="s">
        <v>118</v>
      </c>
      <c r="P4" s="24" t="s">
        <v>97</v>
      </c>
      <c r="Q4" s="23"/>
      <c r="R4" s="409" t="s">
        <v>163</v>
      </c>
      <c r="S4" s="422"/>
      <c r="T4" s="24" t="s">
        <v>118</v>
      </c>
      <c r="U4" s="24" t="s">
        <v>97</v>
      </c>
      <c r="V4" s="24"/>
      <c r="W4" s="25"/>
    </row>
    <row r="5" spans="1:24" x14ac:dyDescent="0.25">
      <c r="A5" s="23"/>
      <c r="B5" s="23"/>
      <c r="C5" s="426"/>
      <c r="D5" s="402"/>
      <c r="E5" s="291"/>
      <c r="F5" s="426"/>
      <c r="G5" s="26" t="s">
        <v>161</v>
      </c>
      <c r="H5" s="409" t="s">
        <v>162</v>
      </c>
      <c r="I5" s="408"/>
      <c r="J5" s="408"/>
      <c r="K5" s="293"/>
      <c r="L5" s="421"/>
      <c r="M5" s="26" t="s">
        <v>161</v>
      </c>
      <c r="N5" s="409" t="s">
        <v>162</v>
      </c>
      <c r="O5" s="408"/>
      <c r="P5" s="408"/>
      <c r="Q5" s="23"/>
      <c r="R5" s="26" t="s">
        <v>161</v>
      </c>
      <c r="S5" s="409" t="s">
        <v>162</v>
      </c>
      <c r="T5" s="408"/>
      <c r="U5" s="408"/>
      <c r="V5" s="24"/>
      <c r="W5" s="25"/>
    </row>
    <row r="6" spans="1:24" x14ac:dyDescent="0.25">
      <c r="A6" s="23"/>
      <c r="B6" s="23"/>
      <c r="C6" s="350"/>
      <c r="D6" s="291"/>
      <c r="E6" s="291"/>
      <c r="F6" s="350"/>
      <c r="G6" s="26"/>
      <c r="H6" s="294"/>
      <c r="I6" s="293"/>
      <c r="J6" s="293"/>
      <c r="K6" s="293"/>
      <c r="L6" s="349"/>
      <c r="M6" s="26"/>
      <c r="N6" s="294"/>
      <c r="O6" s="293"/>
      <c r="P6" s="293"/>
      <c r="Q6" s="23"/>
      <c r="R6" s="26"/>
      <c r="S6" s="294"/>
      <c r="T6" s="293"/>
      <c r="U6" s="293"/>
      <c r="V6" s="292"/>
      <c r="W6" s="25"/>
    </row>
    <row r="7" spans="1:24" x14ac:dyDescent="0.25">
      <c r="A7" s="78" t="s">
        <v>20</v>
      </c>
      <c r="B7" s="78"/>
      <c r="C7" s="78"/>
      <c r="D7" s="307"/>
      <c r="E7" s="307"/>
      <c r="F7" s="79"/>
      <c r="G7" s="80"/>
      <c r="H7" s="307"/>
      <c r="J7" s="81"/>
      <c r="K7" s="81"/>
      <c r="L7" s="79"/>
      <c r="M7" s="80"/>
      <c r="N7" s="81"/>
      <c r="O7" s="81"/>
      <c r="P7" s="81"/>
      <c r="Q7" s="81"/>
      <c r="R7" s="80"/>
      <c r="S7" s="81"/>
      <c r="T7" s="81"/>
      <c r="U7" s="81"/>
      <c r="V7" s="5"/>
      <c r="W7" s="5"/>
    </row>
    <row r="8" spans="1:24" x14ac:dyDescent="0.25">
      <c r="A8" s="83" t="s">
        <v>21</v>
      </c>
      <c r="B8" s="83"/>
      <c r="C8" s="84">
        <f>D8-G8</f>
        <v>318</v>
      </c>
      <c r="D8" s="329">
        <v>1842</v>
      </c>
      <c r="E8" s="308"/>
      <c r="F8" s="84">
        <f>G8-M8</f>
        <v>124</v>
      </c>
      <c r="G8" s="85">
        <v>1524</v>
      </c>
      <c r="H8" s="86">
        <f>G8/12*10</f>
        <v>1270</v>
      </c>
      <c r="I8" s="343">
        <v>1490</v>
      </c>
      <c r="J8" s="86">
        <f>H8-I8</f>
        <v>-220</v>
      </c>
      <c r="K8" s="81"/>
      <c r="L8" s="79">
        <f>M8-R8</f>
        <v>30</v>
      </c>
      <c r="M8" s="85">
        <v>1400</v>
      </c>
      <c r="N8" s="86">
        <f>M8/12*10</f>
        <v>1166.6666666666667</v>
      </c>
      <c r="O8" s="86">
        <v>960</v>
      </c>
      <c r="P8" s="86">
        <f>N8-O8</f>
        <v>206.66666666666674</v>
      </c>
      <c r="Q8" s="81"/>
      <c r="R8" s="80">
        <v>1370</v>
      </c>
      <c r="S8" s="86">
        <f>R8/12*10</f>
        <v>1141.6666666666667</v>
      </c>
      <c r="T8" s="81">
        <v>1076.3699999999999</v>
      </c>
      <c r="U8" s="81">
        <f>S8-T8</f>
        <v>65.296666666666852</v>
      </c>
      <c r="V8" s="13"/>
      <c r="W8" s="75"/>
    </row>
    <row r="9" spans="1:24" x14ac:dyDescent="0.25">
      <c r="A9" s="83" t="s">
        <v>14</v>
      </c>
      <c r="B9" s="83" t="s">
        <v>167</v>
      </c>
      <c r="C9" s="84">
        <f>D9-G9</f>
        <v>1.5</v>
      </c>
      <c r="D9" s="329">
        <v>510</v>
      </c>
      <c r="E9" s="308"/>
      <c r="F9" s="84">
        <f>G9-M9</f>
        <v>8.5</v>
      </c>
      <c r="G9" s="85">
        <f>M9+(M9*$C$42)</f>
        <v>508.5</v>
      </c>
      <c r="H9" s="86">
        <f>G9/12*10</f>
        <v>423.75</v>
      </c>
      <c r="I9" s="343">
        <v>340</v>
      </c>
      <c r="J9" s="86">
        <f>H9-I9</f>
        <v>83.75</v>
      </c>
      <c r="K9" s="81"/>
      <c r="L9" s="79">
        <f t="shared" ref="L9:L11" si="0">M9-R9</f>
        <v>0</v>
      </c>
      <c r="M9" s="85">
        <v>500</v>
      </c>
      <c r="N9" s="86">
        <f>M9/12*10</f>
        <v>416.66666666666663</v>
      </c>
      <c r="O9" s="86">
        <v>450</v>
      </c>
      <c r="P9" s="86">
        <f>N9-O9</f>
        <v>-33.333333333333371</v>
      </c>
      <c r="Q9" s="81"/>
      <c r="R9" s="80">
        <v>500</v>
      </c>
      <c r="S9" s="86">
        <f>R9/12*10</f>
        <v>416.66666666666663</v>
      </c>
      <c r="T9" s="81">
        <v>450</v>
      </c>
      <c r="U9" s="81">
        <f>S9-T9</f>
        <v>-33.333333333333371</v>
      </c>
      <c r="V9" s="13"/>
      <c r="W9" s="75"/>
      <c r="X9" s="19"/>
    </row>
    <row r="10" spans="1:24" ht="17.25" x14ac:dyDescent="0.25">
      <c r="A10" s="83" t="s">
        <v>213</v>
      </c>
      <c r="B10" s="83" t="s">
        <v>167</v>
      </c>
      <c r="C10" s="84">
        <f>D10-G10</f>
        <v>-224</v>
      </c>
      <c r="D10" s="329">
        <v>1810</v>
      </c>
      <c r="E10" s="308"/>
      <c r="F10" s="84">
        <f>G10-M10</f>
        <v>34</v>
      </c>
      <c r="G10" s="85">
        <f>M10+(M10*$C$42)</f>
        <v>2034</v>
      </c>
      <c r="H10" s="86">
        <f>G10/12*10</f>
        <v>1695</v>
      </c>
      <c r="I10" s="343">
        <v>1441</v>
      </c>
      <c r="J10" s="86">
        <f>H10-I10</f>
        <v>254</v>
      </c>
      <c r="K10" s="81"/>
      <c r="L10" s="79">
        <f t="shared" si="0"/>
        <v>0</v>
      </c>
      <c r="M10" s="85">
        <v>2000</v>
      </c>
      <c r="N10" s="86">
        <f>M10/12*10</f>
        <v>1666.6666666666665</v>
      </c>
      <c r="O10" s="86">
        <v>2432.3200000000002</v>
      </c>
      <c r="P10" s="86">
        <f>N10-O10</f>
        <v>-765.65333333333365</v>
      </c>
      <c r="Q10" s="81"/>
      <c r="R10" s="80">
        <v>2000</v>
      </c>
      <c r="S10" s="86">
        <f>R10/12*10</f>
        <v>1666.6666666666665</v>
      </c>
      <c r="T10" s="81">
        <v>1570.93</v>
      </c>
      <c r="U10" s="81">
        <f>S10-T10</f>
        <v>95.736666666666451</v>
      </c>
      <c r="V10" s="13"/>
      <c r="W10" s="37"/>
    </row>
    <row r="11" spans="1:24" x14ac:dyDescent="0.25">
      <c r="A11" s="83" t="s">
        <v>155</v>
      </c>
      <c r="B11" s="83"/>
      <c r="C11" s="84">
        <f>D11-G11</f>
        <v>0</v>
      </c>
      <c r="D11" s="329">
        <v>672</v>
      </c>
      <c r="E11" s="308"/>
      <c r="F11" s="84">
        <f>G11-M11</f>
        <v>672</v>
      </c>
      <c r="G11" s="85">
        <f>(280+280)*1.2</f>
        <v>672</v>
      </c>
      <c r="H11" s="86">
        <f>G11/12*10</f>
        <v>560</v>
      </c>
      <c r="I11" s="343">
        <v>672</v>
      </c>
      <c r="J11" s="86">
        <f>H11-I11</f>
        <v>-112</v>
      </c>
      <c r="K11" s="81"/>
      <c r="L11" s="79">
        <f t="shared" si="0"/>
        <v>0</v>
      </c>
      <c r="M11" s="85">
        <v>0</v>
      </c>
      <c r="N11" s="86">
        <f>M11/12*10</f>
        <v>0</v>
      </c>
      <c r="O11" s="86">
        <v>0</v>
      </c>
      <c r="P11" s="86">
        <f>N11-O11</f>
        <v>0</v>
      </c>
      <c r="Q11" s="81"/>
      <c r="R11" s="80">
        <v>0</v>
      </c>
      <c r="S11" s="86">
        <f>R11/12*10</f>
        <v>0</v>
      </c>
      <c r="T11" s="81">
        <v>0</v>
      </c>
      <c r="U11" s="81">
        <f>S11-T11</f>
        <v>0</v>
      </c>
      <c r="V11" s="13"/>
      <c r="W11" s="5"/>
      <c r="X11" s="19"/>
    </row>
    <row r="12" spans="1:24" x14ac:dyDescent="0.25">
      <c r="A12" s="83"/>
      <c r="B12" s="83"/>
      <c r="C12" s="84"/>
      <c r="D12" s="308"/>
      <c r="E12" s="308"/>
      <c r="F12" s="84"/>
      <c r="G12" s="85"/>
      <c r="H12" s="86"/>
      <c r="I12" s="86"/>
      <c r="J12" s="86"/>
      <c r="K12" s="81"/>
      <c r="L12" s="79"/>
      <c r="M12" s="85"/>
      <c r="N12" s="86"/>
      <c r="O12" s="86"/>
      <c r="P12" s="86"/>
      <c r="Q12" s="81"/>
      <c r="R12" s="80"/>
      <c r="S12" s="81"/>
      <c r="T12" s="81"/>
      <c r="U12" s="81"/>
      <c r="V12" s="13"/>
      <c r="W12" s="5"/>
    </row>
    <row r="13" spans="1:24" s="132" customFormat="1" ht="15.75" thickBot="1" x14ac:dyDescent="0.3">
      <c r="A13" s="138" t="s">
        <v>170</v>
      </c>
      <c r="B13" s="78"/>
      <c r="C13" s="88">
        <f>SUM(C7:C12)</f>
        <v>95.5</v>
      </c>
      <c r="D13" s="89">
        <f>SUM(D7:D12)</f>
        <v>4834</v>
      </c>
      <c r="E13" s="103"/>
      <c r="F13" s="88">
        <f>SUM(F7:F12)</f>
        <v>838.5</v>
      </c>
      <c r="G13" s="89">
        <f>SUM(G7:G12)</f>
        <v>4738.5</v>
      </c>
      <c r="H13" s="91">
        <f t="shared" ref="H13:J13" si="1">SUM(H7:H12)</f>
        <v>3948.75</v>
      </c>
      <c r="I13" s="91">
        <f t="shared" si="1"/>
        <v>3943</v>
      </c>
      <c r="J13" s="91">
        <f t="shared" si="1"/>
        <v>5.75</v>
      </c>
      <c r="K13" s="90"/>
      <c r="L13" s="88">
        <f t="shared" ref="L13:P13" si="2">SUM(L7:L12)</f>
        <v>30</v>
      </c>
      <c r="M13" s="89">
        <f t="shared" si="2"/>
        <v>3900</v>
      </c>
      <c r="N13" s="91">
        <f t="shared" si="2"/>
        <v>3250</v>
      </c>
      <c r="O13" s="91">
        <f t="shared" si="2"/>
        <v>3842.32</v>
      </c>
      <c r="P13" s="91">
        <f t="shared" si="2"/>
        <v>-592.32000000000028</v>
      </c>
      <c r="Q13" s="90"/>
      <c r="R13" s="92">
        <f t="shared" ref="R13:U13" si="3">SUM(R7:R12)</f>
        <v>3870</v>
      </c>
      <c r="S13" s="91">
        <f t="shared" si="3"/>
        <v>3225</v>
      </c>
      <c r="T13" s="91">
        <f t="shared" si="3"/>
        <v>3097.3</v>
      </c>
      <c r="U13" s="91">
        <f t="shared" si="3"/>
        <v>127.69999999999993</v>
      </c>
      <c r="V13" s="15"/>
      <c r="W13" s="14"/>
    </row>
    <row r="14" spans="1:24" x14ac:dyDescent="0.25">
      <c r="C14" s="115"/>
      <c r="F14" s="115"/>
      <c r="G14" s="116"/>
      <c r="H14" s="117"/>
      <c r="I14" s="117"/>
      <c r="J14" s="117"/>
      <c r="K14" s="117"/>
      <c r="L14" s="115"/>
      <c r="M14" s="116"/>
      <c r="N14" s="117"/>
      <c r="O14" s="117"/>
      <c r="P14" s="117"/>
      <c r="Q14" s="117"/>
      <c r="R14" s="116"/>
      <c r="S14" s="117"/>
      <c r="T14" s="117"/>
      <c r="U14" s="117"/>
    </row>
    <row r="15" spans="1:24" x14ac:dyDescent="0.25">
      <c r="A15" s="49" t="s">
        <v>23</v>
      </c>
      <c r="C15" s="115"/>
      <c r="F15" s="115"/>
      <c r="G15" s="116"/>
      <c r="H15" s="117"/>
      <c r="I15" s="117"/>
      <c r="J15" s="117"/>
      <c r="K15" s="117"/>
      <c r="L15" s="115"/>
      <c r="M15" s="116"/>
      <c r="N15" s="117"/>
      <c r="O15" s="117"/>
      <c r="P15" s="117"/>
      <c r="Q15" s="117"/>
      <c r="R15" s="116"/>
      <c r="S15" s="117"/>
      <c r="T15" s="117"/>
      <c r="U15" s="117"/>
    </row>
    <row r="16" spans="1:24" x14ac:dyDescent="0.25">
      <c r="A16" s="50" t="s">
        <v>22</v>
      </c>
      <c r="B16" s="83" t="s">
        <v>167</v>
      </c>
      <c r="C16" s="84">
        <f t="shared" ref="C16:C23" si="4">D16-G16</f>
        <v>10.5</v>
      </c>
      <c r="D16" s="329">
        <v>1536</v>
      </c>
      <c r="E16" s="308"/>
      <c r="F16" s="84">
        <f t="shared" ref="F16:F23" si="5">G16-M16</f>
        <v>25.5</v>
      </c>
      <c r="G16" s="85">
        <f>M16+(M16*$C$42)</f>
        <v>1525.5</v>
      </c>
      <c r="H16" s="86">
        <f t="shared" ref="H16:H23" si="6">G16/12*10</f>
        <v>1271.25</v>
      </c>
      <c r="I16" s="343">
        <v>1876</v>
      </c>
      <c r="J16" s="86">
        <f t="shared" ref="J16:J23" si="7">H16-I16</f>
        <v>-604.75</v>
      </c>
      <c r="K16" s="117"/>
      <c r="L16" s="79">
        <f t="shared" ref="L16:L23" si="8">M16-R16</f>
        <v>0</v>
      </c>
      <c r="M16" s="116">
        <v>1500</v>
      </c>
      <c r="N16" s="86">
        <f t="shared" ref="N16:N23" si="9">M16/12*10</f>
        <v>1250</v>
      </c>
      <c r="O16" s="86">
        <v>3069.79</v>
      </c>
      <c r="P16" s="86">
        <f t="shared" ref="P16:P23" si="10">N16-O16</f>
        <v>-1819.79</v>
      </c>
      <c r="Q16" s="117"/>
      <c r="R16" s="116">
        <v>1500</v>
      </c>
      <c r="S16" s="86">
        <f t="shared" ref="S16:S23" si="11">R16/12*10</f>
        <v>1250</v>
      </c>
      <c r="T16" s="117">
        <v>1734.6</v>
      </c>
      <c r="U16" s="81">
        <f t="shared" ref="U16:U23" si="12">S16-T16</f>
        <v>-484.59999999999991</v>
      </c>
      <c r="W16" s="37"/>
    </row>
    <row r="17" spans="1:29" x14ac:dyDescent="0.25">
      <c r="A17" s="50" t="s">
        <v>16</v>
      </c>
      <c r="B17" s="83" t="s">
        <v>167</v>
      </c>
      <c r="C17" s="84">
        <f t="shared" si="4"/>
        <v>-52.550000000000011</v>
      </c>
      <c r="D17" s="329">
        <v>100</v>
      </c>
      <c r="E17" s="308"/>
      <c r="F17" s="84">
        <f t="shared" si="5"/>
        <v>2.5500000000000114</v>
      </c>
      <c r="G17" s="85">
        <f>M17+(M17*$C$42)</f>
        <v>152.55000000000001</v>
      </c>
      <c r="H17" s="86">
        <f t="shared" si="6"/>
        <v>127.125</v>
      </c>
      <c r="I17" s="343">
        <v>0</v>
      </c>
      <c r="J17" s="86">
        <f t="shared" si="7"/>
        <v>127.125</v>
      </c>
      <c r="K17" s="117"/>
      <c r="L17" s="79">
        <f t="shared" si="8"/>
        <v>0</v>
      </c>
      <c r="M17" s="116">
        <v>150</v>
      </c>
      <c r="N17" s="86">
        <f t="shared" si="9"/>
        <v>125</v>
      </c>
      <c r="O17" s="86">
        <v>23.88</v>
      </c>
      <c r="P17" s="86">
        <f t="shared" si="10"/>
        <v>101.12</v>
      </c>
      <c r="Q17" s="117"/>
      <c r="R17" s="116">
        <v>150</v>
      </c>
      <c r="S17" s="86">
        <f t="shared" si="11"/>
        <v>125</v>
      </c>
      <c r="T17" s="117">
        <v>118.97</v>
      </c>
      <c r="U17" s="81">
        <f t="shared" si="12"/>
        <v>6.0300000000000011</v>
      </c>
    </row>
    <row r="18" spans="1:29" x14ac:dyDescent="0.25">
      <c r="A18" s="50" t="s">
        <v>24</v>
      </c>
      <c r="B18" s="83" t="s">
        <v>167</v>
      </c>
      <c r="C18" s="84">
        <f t="shared" si="4"/>
        <v>149.15</v>
      </c>
      <c r="D18" s="329">
        <v>200</v>
      </c>
      <c r="E18" s="308"/>
      <c r="F18" s="84">
        <f t="shared" si="5"/>
        <v>0.85000000000000142</v>
      </c>
      <c r="G18" s="85">
        <f>M18+(M18*$C$42)</f>
        <v>50.85</v>
      </c>
      <c r="H18" s="86">
        <f t="shared" si="6"/>
        <v>42.375</v>
      </c>
      <c r="I18" s="343">
        <v>226</v>
      </c>
      <c r="J18" s="86">
        <f t="shared" si="7"/>
        <v>-183.625</v>
      </c>
      <c r="K18" s="117"/>
      <c r="L18" s="79">
        <f t="shared" si="8"/>
        <v>0</v>
      </c>
      <c r="M18" s="116">
        <v>50</v>
      </c>
      <c r="N18" s="86">
        <f t="shared" si="9"/>
        <v>41.666666666666671</v>
      </c>
      <c r="O18" s="86">
        <v>60</v>
      </c>
      <c r="P18" s="86">
        <f t="shared" si="10"/>
        <v>-18.333333333333329</v>
      </c>
      <c r="Q18" s="117"/>
      <c r="R18" s="116">
        <v>50</v>
      </c>
      <c r="S18" s="86">
        <f t="shared" si="11"/>
        <v>41.666666666666671</v>
      </c>
      <c r="T18" s="117">
        <v>219</v>
      </c>
      <c r="U18" s="81">
        <f t="shared" si="12"/>
        <v>-177.33333333333331</v>
      </c>
    </row>
    <row r="19" spans="1:29" x14ac:dyDescent="0.25">
      <c r="A19" s="50" t="s">
        <v>25</v>
      </c>
      <c r="B19" s="83" t="s">
        <v>167</v>
      </c>
      <c r="C19" s="84">
        <f t="shared" si="4"/>
        <v>-35.400000000000006</v>
      </c>
      <c r="D19" s="329">
        <v>168</v>
      </c>
      <c r="E19" s="308"/>
      <c r="F19" s="84">
        <f t="shared" si="5"/>
        <v>3.4000000000000057</v>
      </c>
      <c r="G19" s="85">
        <f>M19+(M19*$C$42)</f>
        <v>203.4</v>
      </c>
      <c r="H19" s="86">
        <f t="shared" si="6"/>
        <v>169.5</v>
      </c>
      <c r="I19" s="343">
        <v>307</v>
      </c>
      <c r="J19" s="86">
        <f t="shared" si="7"/>
        <v>-137.5</v>
      </c>
      <c r="K19" s="117"/>
      <c r="L19" s="79">
        <f t="shared" si="8"/>
        <v>0</v>
      </c>
      <c r="M19" s="116">
        <v>200</v>
      </c>
      <c r="N19" s="86">
        <f t="shared" si="9"/>
        <v>166.66666666666669</v>
      </c>
      <c r="O19" s="86">
        <v>111.8</v>
      </c>
      <c r="P19" s="86">
        <f t="shared" si="10"/>
        <v>54.866666666666688</v>
      </c>
      <c r="Q19" s="117"/>
      <c r="R19" s="116">
        <v>200</v>
      </c>
      <c r="S19" s="86">
        <f t="shared" si="11"/>
        <v>166.66666666666669</v>
      </c>
      <c r="T19" s="117">
        <v>98</v>
      </c>
      <c r="U19" s="81">
        <f t="shared" si="12"/>
        <v>68.666666666666686</v>
      </c>
      <c r="W19" s="37"/>
    </row>
    <row r="20" spans="1:29" x14ac:dyDescent="0.25">
      <c r="A20" s="50" t="s">
        <v>12</v>
      </c>
      <c r="B20" s="83" t="s">
        <v>167</v>
      </c>
      <c r="C20" s="84">
        <f t="shared" si="4"/>
        <v>-1.7000000000000028</v>
      </c>
      <c r="D20" s="329">
        <v>100</v>
      </c>
      <c r="E20" s="308"/>
      <c r="F20" s="84">
        <f t="shared" si="5"/>
        <v>1.7000000000000028</v>
      </c>
      <c r="G20" s="85">
        <f>M20+(M20*$C$42)</f>
        <v>101.7</v>
      </c>
      <c r="H20" s="86">
        <f t="shared" si="6"/>
        <v>84.75</v>
      </c>
      <c r="I20" s="343">
        <v>306</v>
      </c>
      <c r="J20" s="86">
        <f t="shared" si="7"/>
        <v>-221.25</v>
      </c>
      <c r="K20" s="117"/>
      <c r="L20" s="79">
        <f t="shared" si="8"/>
        <v>47</v>
      </c>
      <c r="M20" s="116">
        <v>100</v>
      </c>
      <c r="N20" s="86">
        <f t="shared" si="9"/>
        <v>83.333333333333343</v>
      </c>
      <c r="O20" s="86">
        <v>90</v>
      </c>
      <c r="P20" s="86">
        <f t="shared" si="10"/>
        <v>-6.6666666666666572</v>
      </c>
      <c r="Q20" s="117"/>
      <c r="R20" s="116">
        <v>53</v>
      </c>
      <c r="S20" s="86">
        <f t="shared" si="11"/>
        <v>44.166666666666671</v>
      </c>
      <c r="T20" s="117">
        <v>214</v>
      </c>
      <c r="U20" s="81">
        <f t="shared" si="12"/>
        <v>-169.83333333333331</v>
      </c>
      <c r="W20" s="37"/>
    </row>
    <row r="21" spans="1:29" x14ac:dyDescent="0.25">
      <c r="A21" s="50" t="s">
        <v>134</v>
      </c>
      <c r="C21" s="84">
        <f t="shared" si="4"/>
        <v>0</v>
      </c>
      <c r="D21" s="328"/>
      <c r="F21" s="84">
        <f t="shared" si="5"/>
        <v>0</v>
      </c>
      <c r="G21" s="116">
        <v>0</v>
      </c>
      <c r="H21" s="86">
        <f t="shared" si="6"/>
        <v>0</v>
      </c>
      <c r="I21" s="343"/>
      <c r="J21" s="86">
        <f t="shared" si="7"/>
        <v>0</v>
      </c>
      <c r="K21" s="117"/>
      <c r="L21" s="79">
        <f t="shared" si="8"/>
        <v>0</v>
      </c>
      <c r="M21" s="116">
        <v>0</v>
      </c>
      <c r="N21" s="86">
        <f t="shared" si="9"/>
        <v>0</v>
      </c>
      <c r="O21" s="86">
        <v>0</v>
      </c>
      <c r="P21" s="86">
        <f t="shared" si="10"/>
        <v>0</v>
      </c>
      <c r="Q21" s="117"/>
      <c r="R21" s="116">
        <v>0</v>
      </c>
      <c r="S21" s="86">
        <f t="shared" si="11"/>
        <v>0</v>
      </c>
      <c r="T21" s="117">
        <v>1158</v>
      </c>
      <c r="U21" s="81">
        <f t="shared" si="12"/>
        <v>-1158</v>
      </c>
      <c r="W21" s="37"/>
    </row>
    <row r="22" spans="1:29" x14ac:dyDescent="0.25">
      <c r="A22" s="50" t="s">
        <v>125</v>
      </c>
      <c r="C22" s="84">
        <f t="shared" si="4"/>
        <v>0</v>
      </c>
      <c r="D22" s="328"/>
      <c r="F22" s="84">
        <f t="shared" si="5"/>
        <v>0</v>
      </c>
      <c r="G22" s="116">
        <v>0</v>
      </c>
      <c r="H22" s="86">
        <f t="shared" si="6"/>
        <v>0</v>
      </c>
      <c r="I22" s="343"/>
      <c r="J22" s="86">
        <f t="shared" si="7"/>
        <v>0</v>
      </c>
      <c r="K22" s="117"/>
      <c r="L22" s="79">
        <f t="shared" si="8"/>
        <v>0</v>
      </c>
      <c r="M22" s="116">
        <v>0</v>
      </c>
      <c r="N22" s="86">
        <f t="shared" si="9"/>
        <v>0</v>
      </c>
      <c r="O22" s="86">
        <v>0</v>
      </c>
      <c r="P22" s="86">
        <f t="shared" si="10"/>
        <v>0</v>
      </c>
      <c r="Q22" s="117"/>
      <c r="R22" s="116">
        <v>0</v>
      </c>
      <c r="S22" s="86">
        <f t="shared" si="11"/>
        <v>0</v>
      </c>
      <c r="T22" s="117">
        <v>1333</v>
      </c>
      <c r="U22" s="81">
        <f t="shared" si="12"/>
        <v>-1333</v>
      </c>
    </row>
    <row r="23" spans="1:29" x14ac:dyDescent="0.25">
      <c r="A23" s="50" t="s">
        <v>156</v>
      </c>
      <c r="C23" s="84">
        <f t="shared" si="4"/>
        <v>-225.33333333333334</v>
      </c>
      <c r="D23" s="328">
        <v>0</v>
      </c>
      <c r="F23" s="84">
        <f t="shared" si="5"/>
        <v>225.33333333333334</v>
      </c>
      <c r="G23" s="116">
        <f>Reserves!X15</f>
        <v>225.33333333333334</v>
      </c>
      <c r="H23" s="86">
        <f t="shared" si="6"/>
        <v>187.77777777777777</v>
      </c>
      <c r="I23" s="343">
        <v>574</v>
      </c>
      <c r="J23" s="86">
        <f t="shared" si="7"/>
        <v>-386.22222222222223</v>
      </c>
      <c r="K23" s="117"/>
      <c r="L23" s="79">
        <f t="shared" si="8"/>
        <v>0</v>
      </c>
      <c r="M23" s="116">
        <v>0</v>
      </c>
      <c r="N23" s="86">
        <f t="shared" si="9"/>
        <v>0</v>
      </c>
      <c r="O23" s="86">
        <v>0</v>
      </c>
      <c r="P23" s="86">
        <f t="shared" si="10"/>
        <v>0</v>
      </c>
      <c r="Q23" s="117"/>
      <c r="R23" s="116">
        <v>0</v>
      </c>
      <c r="S23" s="86">
        <f t="shared" si="11"/>
        <v>0</v>
      </c>
      <c r="T23" s="117">
        <v>0</v>
      </c>
      <c r="U23" s="81">
        <f t="shared" si="12"/>
        <v>0</v>
      </c>
      <c r="W23" s="37"/>
    </row>
    <row r="24" spans="1:29" x14ac:dyDescent="0.25">
      <c r="A24" s="50"/>
      <c r="C24" s="84"/>
      <c r="F24" s="84"/>
      <c r="G24" s="116"/>
      <c r="H24" s="86"/>
      <c r="I24" s="86"/>
      <c r="J24" s="86"/>
      <c r="K24" s="117"/>
      <c r="L24" s="115"/>
      <c r="M24" s="116"/>
      <c r="N24" s="86"/>
      <c r="O24" s="86"/>
      <c r="P24" s="86"/>
      <c r="Q24" s="117"/>
      <c r="R24" s="116"/>
      <c r="S24" s="117"/>
      <c r="T24" s="117"/>
      <c r="U24" s="117"/>
      <c r="W24" s="37"/>
    </row>
    <row r="25" spans="1:29" s="132" customFormat="1" ht="15.75" thickBot="1" x14ac:dyDescent="0.3">
      <c r="A25" s="138" t="s">
        <v>171</v>
      </c>
      <c r="C25" s="139">
        <f>SUM(C15:C24)</f>
        <v>-155.33333333333337</v>
      </c>
      <c r="D25" s="140">
        <f>SUM(D15:D24)</f>
        <v>2104</v>
      </c>
      <c r="E25" s="321"/>
      <c r="F25" s="139">
        <f>SUM(F15:F24)</f>
        <v>259.33333333333337</v>
      </c>
      <c r="G25" s="140">
        <f>SUM(G15:G24)</f>
        <v>2259.3333333333335</v>
      </c>
      <c r="H25" s="138">
        <f>SUM(H15:H24)</f>
        <v>1882.7777777777778</v>
      </c>
      <c r="I25" s="138">
        <f>SUM(I15:I24)</f>
        <v>3289</v>
      </c>
      <c r="J25" s="138">
        <f>SUM(J15:J24)</f>
        <v>-1406.2222222222222</v>
      </c>
      <c r="K25" s="141"/>
      <c r="L25" s="139">
        <f>SUM(L15:L24)</f>
        <v>47</v>
      </c>
      <c r="M25" s="140">
        <f>SUM(M15:M24)</f>
        <v>2000</v>
      </c>
      <c r="N25" s="138">
        <f>SUM(N15:N24)</f>
        <v>1666.6666666666667</v>
      </c>
      <c r="O25" s="138">
        <f>SUM(O15:O24)</f>
        <v>3355.4700000000003</v>
      </c>
      <c r="P25" s="138">
        <f>SUM(P15:P24)</f>
        <v>-1688.8033333333333</v>
      </c>
      <c r="Q25" s="141"/>
      <c r="R25" s="140">
        <f>SUM(R15:R24)</f>
        <v>1953</v>
      </c>
      <c r="S25" s="138">
        <f>SUM(S15:S24)</f>
        <v>1627.5000000000002</v>
      </c>
      <c r="T25" s="138">
        <f>SUM(T15:T24)</f>
        <v>4875.57</v>
      </c>
      <c r="U25" s="138">
        <f>SUM(U15:U24)</f>
        <v>-3248.0699999999997</v>
      </c>
      <c r="W25" s="45"/>
    </row>
    <row r="26" spans="1:29" x14ac:dyDescent="0.25">
      <c r="A26" s="150"/>
      <c r="C26" s="115"/>
      <c r="F26" s="115"/>
      <c r="G26" s="124"/>
      <c r="H26" s="117"/>
      <c r="I26" s="117"/>
      <c r="J26" s="117"/>
      <c r="K26" s="117"/>
      <c r="L26" s="115"/>
      <c r="M26" s="124"/>
      <c r="N26" s="117"/>
      <c r="O26" s="117"/>
      <c r="P26" s="117"/>
      <c r="Q26" s="117"/>
      <c r="R26" s="124"/>
      <c r="S26" s="117"/>
      <c r="T26" s="125"/>
      <c r="U26" s="117"/>
      <c r="W26" s="37"/>
    </row>
    <row r="27" spans="1:29" x14ac:dyDescent="0.25">
      <c r="A27" s="49" t="s">
        <v>26</v>
      </c>
      <c r="C27" s="115"/>
      <c r="F27" s="115"/>
      <c r="G27" s="116"/>
      <c r="H27" s="117"/>
      <c r="I27" s="117"/>
      <c r="J27" s="117"/>
      <c r="K27" s="117"/>
      <c r="L27" s="115"/>
      <c r="M27" s="116"/>
      <c r="N27" s="117"/>
      <c r="O27" s="117"/>
      <c r="P27" s="117"/>
      <c r="Q27" s="117"/>
      <c r="R27" s="116"/>
      <c r="S27" s="117"/>
      <c r="T27" s="117"/>
      <c r="U27" s="117"/>
      <c r="W27" s="37"/>
    </row>
    <row r="28" spans="1:29" x14ac:dyDescent="0.25">
      <c r="A28" s="50" t="s">
        <v>18</v>
      </c>
      <c r="C28" s="84">
        <f>D28-G28</f>
        <v>2700</v>
      </c>
      <c r="D28" s="328">
        <v>5500</v>
      </c>
      <c r="F28" s="84">
        <f>G28-M28</f>
        <v>518.30000000000018</v>
      </c>
      <c r="G28" s="116">
        <v>2800</v>
      </c>
      <c r="H28" s="86">
        <f t="shared" ref="H28:H30" si="13">G28/12*10</f>
        <v>2333.3333333333335</v>
      </c>
      <c r="I28" s="345">
        <v>2692</v>
      </c>
      <c r="J28" s="86">
        <f t="shared" ref="J28:J30" si="14">H28-I28</f>
        <v>-358.66666666666652</v>
      </c>
      <c r="K28" s="117"/>
      <c r="L28" s="79">
        <f t="shared" ref="L28:L30" si="15">M28-R28</f>
        <v>281.69999999999982</v>
      </c>
      <c r="M28" s="116">
        <v>2281.6999999999998</v>
      </c>
      <c r="N28" s="86">
        <f t="shared" ref="N28:N30" si="16">M28/12*10</f>
        <v>1901.4166666666665</v>
      </c>
      <c r="O28" s="117">
        <v>2147.06</v>
      </c>
      <c r="P28" s="86">
        <f t="shared" ref="P28:P30" si="17">N28-O28</f>
        <v>-245.64333333333343</v>
      </c>
      <c r="Q28" s="117"/>
      <c r="R28" s="116">
        <v>2000</v>
      </c>
      <c r="S28" s="86">
        <f t="shared" ref="S28:S30" si="18">R28/12*10</f>
        <v>1666.6666666666665</v>
      </c>
      <c r="T28" s="117">
        <v>2368.88</v>
      </c>
      <c r="U28" s="81">
        <f t="shared" ref="U28:U30" si="19">S28-T28</f>
        <v>-702.21333333333359</v>
      </c>
      <c r="W28" s="37"/>
      <c r="AC28" s="48"/>
    </row>
    <row r="29" spans="1:29" x14ac:dyDescent="0.25">
      <c r="A29" s="50" t="s">
        <v>96</v>
      </c>
      <c r="C29" s="84">
        <f>D29-G29</f>
        <v>-102.26071294559108</v>
      </c>
      <c r="D29" s="328">
        <v>648</v>
      </c>
      <c r="F29" s="84">
        <f>G29-M29</f>
        <v>70.260712945591081</v>
      </c>
      <c r="G29" s="116">
        <f>Insurance!L22</f>
        <v>750.26071294559108</v>
      </c>
      <c r="H29" s="86">
        <f t="shared" si="13"/>
        <v>625.21726078799259</v>
      </c>
      <c r="I29" s="345">
        <v>623</v>
      </c>
      <c r="J29" s="86">
        <f t="shared" si="14"/>
        <v>2.2172607879925863</v>
      </c>
      <c r="K29" s="117"/>
      <c r="L29" s="79">
        <f t="shared" si="15"/>
        <v>74</v>
      </c>
      <c r="M29" s="116">
        <v>680</v>
      </c>
      <c r="N29" s="86">
        <f t="shared" si="16"/>
        <v>566.66666666666663</v>
      </c>
      <c r="O29" s="117">
        <v>0</v>
      </c>
      <c r="P29" s="86">
        <f t="shared" si="17"/>
        <v>566.66666666666663</v>
      </c>
      <c r="Q29" s="117"/>
      <c r="R29" s="116">
        <v>606</v>
      </c>
      <c r="S29" s="86">
        <f t="shared" si="18"/>
        <v>505</v>
      </c>
      <c r="T29" s="117">
        <v>710.9</v>
      </c>
      <c r="U29" s="81">
        <f t="shared" si="19"/>
        <v>-205.89999999999998</v>
      </c>
      <c r="W29" s="165"/>
    </row>
    <row r="30" spans="1:29" x14ac:dyDescent="0.25">
      <c r="A30" s="50" t="s">
        <v>43</v>
      </c>
      <c r="C30" s="84">
        <f>D30-G30</f>
        <v>0</v>
      </c>
      <c r="D30" s="328">
        <v>450</v>
      </c>
      <c r="F30" s="84">
        <f>G30-M30</f>
        <v>38.300000000000011</v>
      </c>
      <c r="G30" s="116">
        <v>450</v>
      </c>
      <c r="H30" s="86">
        <f t="shared" si="13"/>
        <v>375</v>
      </c>
      <c r="I30" s="345">
        <v>448</v>
      </c>
      <c r="J30" s="86">
        <f t="shared" si="14"/>
        <v>-73</v>
      </c>
      <c r="K30" s="117"/>
      <c r="L30" s="79">
        <f t="shared" si="15"/>
        <v>11.699999999999989</v>
      </c>
      <c r="M30" s="116">
        <v>411.7</v>
      </c>
      <c r="N30" s="86">
        <f t="shared" si="16"/>
        <v>343.08333333333331</v>
      </c>
      <c r="O30" s="117">
        <v>446.38</v>
      </c>
      <c r="P30" s="86">
        <f t="shared" si="17"/>
        <v>-103.29666666666668</v>
      </c>
      <c r="Q30" s="117"/>
      <c r="R30" s="116">
        <v>400</v>
      </c>
      <c r="S30" s="86">
        <f t="shared" si="18"/>
        <v>333.33333333333337</v>
      </c>
      <c r="T30" s="117">
        <v>446.83</v>
      </c>
      <c r="U30" s="81">
        <f t="shared" si="19"/>
        <v>-113.49666666666661</v>
      </c>
    </row>
    <row r="31" spans="1:29" x14ac:dyDescent="0.25">
      <c r="A31" s="50"/>
      <c r="C31" s="115"/>
      <c r="F31" s="115"/>
      <c r="G31" s="116"/>
      <c r="H31" s="117"/>
      <c r="I31" s="117"/>
      <c r="J31" s="117"/>
      <c r="K31" s="117"/>
      <c r="L31" s="115"/>
      <c r="M31" s="116"/>
      <c r="N31" s="117"/>
      <c r="O31" s="117"/>
      <c r="P31" s="117"/>
      <c r="Q31" s="117"/>
      <c r="R31" s="116"/>
      <c r="S31" s="117"/>
      <c r="T31" s="117"/>
      <c r="U31" s="117"/>
      <c r="W31" s="37"/>
    </row>
    <row r="32" spans="1:29" s="132" customFormat="1" ht="15.75" thickBot="1" x14ac:dyDescent="0.3">
      <c r="A32" s="138" t="s">
        <v>173</v>
      </c>
      <c r="C32" s="139">
        <f t="shared" ref="C32" si="20">SUM(C27:C31)</f>
        <v>2597.739287054409</v>
      </c>
      <c r="D32" s="140">
        <f t="shared" ref="D32" si="21">SUM(D27:D31)</f>
        <v>6598</v>
      </c>
      <c r="E32" s="321"/>
      <c r="F32" s="139">
        <f>SUM(F27:F31)</f>
        <v>626.86071294559133</v>
      </c>
      <c r="G32" s="140">
        <f>SUM(G27:G31)</f>
        <v>4000.260712945591</v>
      </c>
      <c r="H32" s="138">
        <f t="shared" ref="H32:J32" si="22">SUM(H27:H31)</f>
        <v>3333.550594121326</v>
      </c>
      <c r="I32" s="138">
        <f t="shared" si="22"/>
        <v>3763</v>
      </c>
      <c r="J32" s="138">
        <f t="shared" si="22"/>
        <v>-429.44940587867393</v>
      </c>
      <c r="K32" s="141"/>
      <c r="L32" s="139">
        <f t="shared" ref="L32:P32" si="23">SUM(L27:L31)</f>
        <v>367.39999999999981</v>
      </c>
      <c r="M32" s="140">
        <f t="shared" si="23"/>
        <v>3373.3999999999996</v>
      </c>
      <c r="N32" s="138">
        <f t="shared" si="23"/>
        <v>2811.1666666666665</v>
      </c>
      <c r="O32" s="138">
        <f t="shared" si="23"/>
        <v>2593.44</v>
      </c>
      <c r="P32" s="138">
        <f t="shared" si="23"/>
        <v>217.72666666666652</v>
      </c>
      <c r="Q32" s="141"/>
      <c r="R32" s="140">
        <f>SUM(R27:R31)</f>
        <v>3006</v>
      </c>
      <c r="S32" s="138">
        <f t="shared" ref="S32:U32" si="24">SUM(S27:S31)</f>
        <v>2505</v>
      </c>
      <c r="T32" s="138">
        <f t="shared" si="24"/>
        <v>3526.61</v>
      </c>
      <c r="U32" s="138">
        <f t="shared" si="24"/>
        <v>-1021.6100000000001</v>
      </c>
      <c r="W32" s="45"/>
    </row>
    <row r="33" spans="1:24" x14ac:dyDescent="0.25">
      <c r="A33" s="35"/>
      <c r="C33" s="115"/>
      <c r="F33" s="115"/>
      <c r="G33" s="124"/>
      <c r="H33" s="117"/>
      <c r="I33" s="117"/>
      <c r="J33" s="117"/>
      <c r="K33" s="117"/>
      <c r="L33" s="115"/>
      <c r="M33" s="124"/>
      <c r="N33" s="117"/>
      <c r="O33" s="117"/>
      <c r="P33" s="117"/>
      <c r="Q33" s="117"/>
      <c r="R33" s="124"/>
      <c r="S33" s="117"/>
      <c r="T33" s="125"/>
      <c r="U33" s="117"/>
      <c r="W33" s="37"/>
    </row>
    <row r="34" spans="1:24" x14ac:dyDescent="0.25">
      <c r="A34" s="50" t="s">
        <v>90</v>
      </c>
      <c r="C34" s="84">
        <f>D34-G34</f>
        <v>0</v>
      </c>
      <c r="D34" s="331">
        <f>G34</f>
        <v>1800</v>
      </c>
      <c r="E34" s="305"/>
      <c r="F34" s="84">
        <f>G34-M34</f>
        <v>0</v>
      </c>
      <c r="G34" s="116">
        <v>1800</v>
      </c>
      <c r="H34" s="86">
        <f t="shared" ref="H34" si="25">G34/12*10</f>
        <v>1500</v>
      </c>
      <c r="I34" s="345"/>
      <c r="J34" s="86">
        <f t="shared" ref="J34" si="26">H34-I34</f>
        <v>1500</v>
      </c>
      <c r="K34" s="117"/>
      <c r="L34" s="79">
        <f t="shared" ref="L34" si="27">M34-R34</f>
        <v>0</v>
      </c>
      <c r="M34" s="116">
        <v>1800</v>
      </c>
      <c r="N34" s="86">
        <f t="shared" ref="N34" si="28">M34/12*10</f>
        <v>1500</v>
      </c>
      <c r="O34" s="117">
        <v>0</v>
      </c>
      <c r="P34" s="86">
        <f t="shared" ref="P34" si="29">N34-O34</f>
        <v>1500</v>
      </c>
      <c r="Q34" s="117"/>
      <c r="R34" s="116">
        <v>1800</v>
      </c>
      <c r="S34" s="86">
        <f>R34/12*10</f>
        <v>1500</v>
      </c>
      <c r="T34" s="117">
        <v>0</v>
      </c>
      <c r="U34" s="81">
        <f>S34-T34</f>
        <v>1500</v>
      </c>
      <c r="W34" s="37"/>
    </row>
    <row r="35" spans="1:24" x14ac:dyDescent="0.25">
      <c r="A35" s="50"/>
      <c r="C35" s="115"/>
      <c r="F35" s="115"/>
      <c r="G35" s="116"/>
      <c r="H35" s="117"/>
      <c r="I35" s="117"/>
      <c r="J35" s="117"/>
      <c r="K35" s="117"/>
      <c r="L35" s="115"/>
      <c r="M35" s="116"/>
      <c r="N35" s="117"/>
      <c r="O35" s="117"/>
      <c r="P35" s="117"/>
      <c r="Q35" s="117"/>
      <c r="R35" s="116"/>
      <c r="S35" s="117"/>
      <c r="T35" s="117"/>
      <c r="U35" s="117"/>
      <c r="W35" s="37"/>
    </row>
    <row r="36" spans="1:24" s="132" customFormat="1" ht="15.75" thickBot="1" x14ac:dyDescent="0.3">
      <c r="A36" s="138" t="s">
        <v>169</v>
      </c>
      <c r="C36" s="139">
        <f>C13+C25+C32+C34</f>
        <v>2537.9059537210755</v>
      </c>
      <c r="D36" s="140">
        <f>D13+D25+D32+D34</f>
        <v>15336</v>
      </c>
      <c r="E36" s="321"/>
      <c r="F36" s="139">
        <f>F13+F25+F32+F34</f>
        <v>1724.6940462789248</v>
      </c>
      <c r="G36" s="140">
        <f>G13+G25+G32+G34</f>
        <v>12798.094046278926</v>
      </c>
      <c r="H36" s="138">
        <f>H13+H25+H32+H34</f>
        <v>10665.078371899104</v>
      </c>
      <c r="I36" s="138">
        <f>I13+I25+I32+I34</f>
        <v>10995</v>
      </c>
      <c r="J36" s="138">
        <f>J13+J25+J32+J34</f>
        <v>-329.92162810089621</v>
      </c>
      <c r="K36" s="141"/>
      <c r="L36" s="139">
        <f>L13+L25+L32+L34</f>
        <v>444.39999999999981</v>
      </c>
      <c r="M36" s="140">
        <f>M13+M25+M32+M34</f>
        <v>11073.4</v>
      </c>
      <c r="N36" s="138">
        <f>N13+N25+N32+N34</f>
        <v>9227.8333333333339</v>
      </c>
      <c r="O36" s="138">
        <f>O13+O25+O32+O34</f>
        <v>9791.2300000000014</v>
      </c>
      <c r="P36" s="138">
        <f>P13+P25+P32+P34</f>
        <v>-563.39666666666699</v>
      </c>
      <c r="Q36" s="141"/>
      <c r="R36" s="140">
        <f>R13+R25+R32+R34</f>
        <v>10629</v>
      </c>
      <c r="S36" s="138">
        <f>S13+S25+S32+S34</f>
        <v>8857.5</v>
      </c>
      <c r="T36" s="138">
        <f>T13+T25+T32+T34</f>
        <v>11499.48</v>
      </c>
      <c r="U36" s="138">
        <f>U13+U25+U32+U34</f>
        <v>-2641.9799999999996</v>
      </c>
      <c r="W36" s="45"/>
    </row>
    <row r="37" spans="1:24" x14ac:dyDescent="0.25">
      <c r="C37" s="115"/>
      <c r="F37" s="115"/>
      <c r="G37" s="124"/>
      <c r="H37" s="117"/>
      <c r="I37" s="117"/>
      <c r="J37" s="117"/>
      <c r="K37" s="117"/>
      <c r="L37" s="115"/>
      <c r="M37" s="124"/>
      <c r="N37" s="117"/>
      <c r="O37" s="117"/>
      <c r="P37" s="117"/>
      <c r="Q37" s="117"/>
      <c r="R37" s="124"/>
      <c r="S37" s="117"/>
      <c r="T37" s="125"/>
      <c r="U37" s="117"/>
      <c r="W37" s="37"/>
    </row>
    <row r="38" spans="1:24" x14ac:dyDescent="0.25">
      <c r="A38" s="50" t="s">
        <v>100</v>
      </c>
      <c r="C38" s="84">
        <f>D38-G38</f>
        <v>-475</v>
      </c>
      <c r="D38" s="363">
        <f>Reserves!F15</f>
        <v>8075</v>
      </c>
      <c r="E38" s="305"/>
      <c r="F38" s="84">
        <f>G38-M38</f>
        <v>-950</v>
      </c>
      <c r="G38" s="116">
        <v>8550</v>
      </c>
      <c r="H38" s="86">
        <f t="shared" ref="H38" si="30">G38/12*10</f>
        <v>7125</v>
      </c>
      <c r="I38" s="345"/>
      <c r="J38" s="86">
        <f t="shared" ref="J38" si="31">H38-I38</f>
        <v>7125</v>
      </c>
      <c r="K38" s="117"/>
      <c r="L38" s="79">
        <f t="shared" ref="L38" si="32">M38-R38</f>
        <v>0</v>
      </c>
      <c r="M38" s="116">
        <v>9500</v>
      </c>
      <c r="N38" s="86">
        <f t="shared" ref="N38" si="33">M38/12*10</f>
        <v>7916.6666666666661</v>
      </c>
      <c r="O38" s="117">
        <v>0</v>
      </c>
      <c r="P38" s="86">
        <f t="shared" ref="P38" si="34">N38-O38</f>
        <v>7916.6666666666661</v>
      </c>
      <c r="Q38" s="117"/>
      <c r="R38" s="116">
        <v>9500</v>
      </c>
      <c r="S38" s="86">
        <f>R38/12*10</f>
        <v>7916.6666666666661</v>
      </c>
      <c r="T38" s="117">
        <v>6750</v>
      </c>
      <c r="U38" s="81">
        <f>S38-T38</f>
        <v>1166.6666666666661</v>
      </c>
      <c r="W38" s="51"/>
    </row>
    <row r="39" spans="1:24" x14ac:dyDescent="0.25">
      <c r="A39" s="50"/>
      <c r="C39" s="115"/>
      <c r="F39" s="115"/>
      <c r="G39" s="116"/>
      <c r="H39" s="117"/>
      <c r="I39" s="117"/>
      <c r="J39" s="117"/>
      <c r="K39" s="117"/>
      <c r="L39" s="115"/>
      <c r="M39" s="116"/>
      <c r="N39" s="117"/>
      <c r="O39" s="117"/>
      <c r="P39" s="117"/>
      <c r="Q39" s="117"/>
      <c r="R39" s="116"/>
      <c r="S39" s="117"/>
      <c r="T39" s="117"/>
      <c r="U39" s="117"/>
      <c r="W39" s="37"/>
    </row>
    <row r="40" spans="1:24" s="132" customFormat="1" ht="15.75" thickBot="1" x14ac:dyDescent="0.3">
      <c r="A40" s="138" t="s">
        <v>1</v>
      </c>
      <c r="C40" s="128">
        <f t="shared" ref="C40" si="35">SUM(C36:C39)</f>
        <v>2062.9059537210755</v>
      </c>
      <c r="D40" s="129">
        <f t="shared" ref="D40" si="36">SUM(D36:D39)</f>
        <v>23411</v>
      </c>
      <c r="E40" s="322"/>
      <c r="F40" s="128">
        <f>SUM(F36:F39)</f>
        <v>774.69404627892482</v>
      </c>
      <c r="G40" s="129">
        <f>SUM(G36:G39)</f>
        <v>21348.094046278926</v>
      </c>
      <c r="H40" s="130">
        <f t="shared" ref="H40:J40" si="37">SUM(H36:H39)</f>
        <v>17790.078371899104</v>
      </c>
      <c r="I40" s="130">
        <f t="shared" si="37"/>
        <v>10995</v>
      </c>
      <c r="J40" s="130">
        <f t="shared" si="37"/>
        <v>6795.0783718991042</v>
      </c>
      <c r="K40" s="141"/>
      <c r="L40" s="128">
        <f t="shared" ref="L40:P40" si="38">SUM(L36:L39)</f>
        <v>444.39999999999981</v>
      </c>
      <c r="M40" s="129">
        <f t="shared" si="38"/>
        <v>20573.400000000001</v>
      </c>
      <c r="N40" s="130">
        <f t="shared" si="38"/>
        <v>17144.5</v>
      </c>
      <c r="O40" s="130">
        <f t="shared" si="38"/>
        <v>9791.2300000000014</v>
      </c>
      <c r="P40" s="130">
        <f t="shared" si="38"/>
        <v>7353.2699999999986</v>
      </c>
      <c r="Q40" s="141"/>
      <c r="R40" s="129">
        <f>SUM(R36:R39)</f>
        <v>20129</v>
      </c>
      <c r="S40" s="130">
        <f t="shared" ref="S40:U40" si="39">SUM(S36:S39)</f>
        <v>16774.166666666664</v>
      </c>
      <c r="T40" s="130">
        <f t="shared" si="39"/>
        <v>18249.48</v>
      </c>
      <c r="U40" s="130">
        <f t="shared" si="39"/>
        <v>-1475.3133333333335</v>
      </c>
      <c r="W40" s="158">
        <f>SUM(B40:V40)</f>
        <v>192160.98412341045</v>
      </c>
      <c r="X40" s="159" t="s">
        <v>174</v>
      </c>
    </row>
    <row r="41" spans="1:24" x14ac:dyDescent="0.25">
      <c r="W41" s="37"/>
    </row>
    <row r="42" spans="1:24" x14ac:dyDescent="0.25">
      <c r="A42" s="5" t="s">
        <v>166</v>
      </c>
      <c r="B42" s="5"/>
      <c r="C42" s="100">
        <f>Summary!$C$25</f>
        <v>1.7000000000000001E-2</v>
      </c>
      <c r="D42" s="306"/>
      <c r="E42" s="306"/>
      <c r="F42" s="306"/>
      <c r="G42" s="306"/>
      <c r="H42" s="306"/>
      <c r="W42" s="37"/>
    </row>
    <row r="43" spans="1:24" x14ac:dyDescent="0.25">
      <c r="W43" s="37"/>
    </row>
    <row r="44" spans="1:24" x14ac:dyDescent="0.25">
      <c r="A44" s="14" t="s">
        <v>98</v>
      </c>
      <c r="B44" s="185"/>
      <c r="C44" s="295"/>
      <c r="D44" s="306"/>
      <c r="E44" s="306"/>
      <c r="F44" s="306"/>
      <c r="G44" s="306"/>
      <c r="H44" s="306"/>
      <c r="I44" s="185"/>
    </row>
    <row r="45" spans="1:24" ht="30" customHeight="1" x14ac:dyDescent="0.25">
      <c r="A45" s="432" t="s">
        <v>352</v>
      </c>
      <c r="B45" s="373"/>
      <c r="C45" s="373"/>
      <c r="D45" s="373"/>
      <c r="E45" s="373"/>
      <c r="F45" s="373"/>
      <c r="G45" s="373"/>
      <c r="H45" s="373"/>
      <c r="I45" s="373"/>
      <c r="W45" s="37"/>
    </row>
    <row r="46" spans="1:24" x14ac:dyDescent="0.25">
      <c r="A46" s="32" t="s">
        <v>210</v>
      </c>
    </row>
    <row r="47" spans="1:24" x14ac:dyDescent="0.25">
      <c r="A47" s="32" t="s">
        <v>211</v>
      </c>
    </row>
    <row r="48" spans="1:24" x14ac:dyDescent="0.25">
      <c r="A48" s="32" t="s">
        <v>209</v>
      </c>
    </row>
    <row r="49" spans="1:9" x14ac:dyDescent="0.25">
      <c r="A49" s="32" t="s">
        <v>212</v>
      </c>
    </row>
    <row r="50" spans="1:9" ht="45" customHeight="1" x14ac:dyDescent="0.25">
      <c r="A50" s="434"/>
      <c r="B50" s="435"/>
      <c r="C50" s="435"/>
      <c r="D50" s="435"/>
      <c r="E50" s="435"/>
      <c r="F50" s="435"/>
      <c r="G50" s="435"/>
      <c r="H50" s="435"/>
      <c r="I50" s="435"/>
    </row>
    <row r="52" spans="1:9" ht="18.75" x14ac:dyDescent="0.25">
      <c r="A52" s="351" t="s">
        <v>267</v>
      </c>
      <c r="B52" s="352"/>
      <c r="C52" s="353" t="s">
        <v>236</v>
      </c>
      <c r="D52" s="354" t="s">
        <v>237</v>
      </c>
      <c r="F52" s="356" t="s">
        <v>268</v>
      </c>
    </row>
    <row r="53" spans="1:9" x14ac:dyDescent="0.25">
      <c r="A53" s="236"/>
      <c r="B53" s="237"/>
      <c r="C53" s="239"/>
      <c r="D53" s="239"/>
    </row>
    <row r="54" spans="1:9" x14ac:dyDescent="0.25">
      <c r="A54" s="192" t="s">
        <v>306</v>
      </c>
      <c r="B54" s="237"/>
      <c r="C54" s="239">
        <v>7705</v>
      </c>
      <c r="D54" s="239"/>
      <c r="F54" s="34" t="s">
        <v>307</v>
      </c>
    </row>
    <row r="55" spans="1:9" x14ac:dyDescent="0.25">
      <c r="A55" s="192"/>
      <c r="B55" s="237"/>
      <c r="C55" s="238"/>
      <c r="D55" s="239"/>
    </row>
    <row r="56" spans="1:9" x14ac:dyDescent="0.25">
      <c r="A56" s="192"/>
      <c r="B56" s="237"/>
      <c r="C56" s="238"/>
      <c r="D56" s="239"/>
    </row>
    <row r="57" spans="1:9" x14ac:dyDescent="0.25">
      <c r="A57" s="194"/>
      <c r="B57" s="193"/>
      <c r="C57" s="191"/>
      <c r="D57" s="191"/>
    </row>
    <row r="58" spans="1:9" x14ac:dyDescent="0.25">
      <c r="A58" s="194"/>
      <c r="B58" s="193"/>
      <c r="C58" s="191"/>
      <c r="D58" s="191"/>
    </row>
    <row r="59" spans="1:9" x14ac:dyDescent="0.25">
      <c r="A59" s="194"/>
      <c r="B59" s="193"/>
      <c r="C59" s="191"/>
      <c r="D59" s="191"/>
    </row>
    <row r="60" spans="1:9" x14ac:dyDescent="0.25">
      <c r="A60" s="194"/>
      <c r="B60" s="193"/>
      <c r="C60" s="191"/>
      <c r="D60" s="191"/>
    </row>
    <row r="61" spans="1:9" x14ac:dyDescent="0.25">
      <c r="A61" s="194"/>
      <c r="B61" s="193"/>
      <c r="C61" s="191"/>
      <c r="D61" s="191"/>
    </row>
    <row r="62" spans="1:9" x14ac:dyDescent="0.25">
      <c r="A62" s="221"/>
      <c r="B62" s="237"/>
      <c r="C62" s="238"/>
      <c r="D62" s="238"/>
    </row>
    <row r="63" spans="1:9" x14ac:dyDescent="0.25">
      <c r="A63" s="240" t="s">
        <v>201</v>
      </c>
      <c r="B63" s="241"/>
      <c r="C63" s="242">
        <f>SUM(C53:C62)</f>
        <v>7705</v>
      </c>
      <c r="D63" s="242">
        <f>SUM(D53:D62)</f>
        <v>0</v>
      </c>
    </row>
    <row r="64" spans="1:9" x14ac:dyDescent="0.25">
      <c r="A64" s="295"/>
      <c r="B64" s="226"/>
      <c r="C64" s="226"/>
      <c r="D64" s="303"/>
    </row>
    <row r="65" spans="1:6" ht="30" customHeight="1" x14ac:dyDescent="0.25">
      <c r="A65" s="414"/>
      <c r="B65" s="415"/>
      <c r="C65" s="415"/>
      <c r="D65" s="415"/>
      <c r="E65" s="425"/>
      <c r="F65" s="425"/>
    </row>
    <row r="66" spans="1:6" ht="30" customHeight="1" x14ac:dyDescent="0.25">
      <c r="A66" s="414"/>
      <c r="B66" s="415"/>
      <c r="C66" s="415"/>
      <c r="D66" s="415"/>
      <c r="E66" s="425"/>
      <c r="F66" s="425"/>
    </row>
    <row r="67" spans="1:6" ht="30" customHeight="1" x14ac:dyDescent="0.25">
      <c r="A67" s="414"/>
      <c r="B67" s="415"/>
      <c r="C67" s="415"/>
      <c r="D67" s="415"/>
      <c r="E67" s="425"/>
      <c r="F67" s="425"/>
    </row>
  </sheetData>
  <mergeCells count="19">
    <mergeCell ref="L3:P3"/>
    <mergeCell ref="A45:I45"/>
    <mergeCell ref="A50:I50"/>
    <mergeCell ref="R3:U3"/>
    <mergeCell ref="F4:F5"/>
    <mergeCell ref="L4:L5"/>
    <mergeCell ref="M4:N4"/>
    <mergeCell ref="R4:S4"/>
    <mergeCell ref="N5:P5"/>
    <mergeCell ref="S5:U5"/>
    <mergeCell ref="C3:D3"/>
    <mergeCell ref="C4:C5"/>
    <mergeCell ref="D4:D5"/>
    <mergeCell ref="G4:H4"/>
    <mergeCell ref="A65:F65"/>
    <mergeCell ref="A66:F66"/>
    <mergeCell ref="A67:F67"/>
    <mergeCell ref="H5:J5"/>
    <mergeCell ref="F3:J3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60" orientation="landscape" horizont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X49"/>
  <sheetViews>
    <sheetView showGridLines="0" zoomScale="80" zoomScaleNormal="80" workbookViewId="0">
      <pane ySplit="5" topLeftCell="A39" activePane="bottomLeft" state="frozen"/>
      <selection pane="bottomLeft" activeCell="G47" sqref="G47"/>
    </sheetView>
  </sheetViews>
  <sheetFormatPr defaultColWidth="9.140625" defaultRowHeight="15" x14ac:dyDescent="0.25"/>
  <cols>
    <col min="1" max="1" width="40.7109375" style="32" customWidth="1"/>
    <col min="2" max="2" width="2.7109375" style="32" customWidth="1"/>
    <col min="3" max="3" width="11.7109375" style="32" customWidth="1"/>
    <col min="4" max="4" width="11.7109375" style="34" customWidth="1"/>
    <col min="5" max="5" width="2.7109375" style="34" customWidth="1"/>
    <col min="6" max="8" width="11.7109375" style="34" customWidth="1"/>
    <col min="9" max="10" width="11.7109375" style="32" customWidth="1"/>
    <col min="11" max="11" width="2.7109375" style="32" customWidth="1"/>
    <col min="12" max="16" width="11.7109375" style="32" customWidth="1"/>
    <col min="17" max="17" width="2.7109375" style="32" customWidth="1"/>
    <col min="18" max="21" width="11.7109375" style="32" customWidth="1"/>
    <col min="22" max="22" width="2.7109375" style="32" customWidth="1"/>
    <col min="23" max="16384" width="9.140625" style="32"/>
  </cols>
  <sheetData>
    <row r="1" spans="1:24" ht="21" x14ac:dyDescent="0.25">
      <c r="A1" s="53" t="s">
        <v>126</v>
      </c>
      <c r="B1" s="54"/>
      <c r="C1" s="54"/>
      <c r="D1" s="301"/>
      <c r="E1" s="301"/>
      <c r="F1" s="301"/>
      <c r="G1" s="301"/>
      <c r="H1" s="301"/>
      <c r="I1" s="55"/>
      <c r="J1" s="55"/>
      <c r="K1" s="55"/>
      <c r="L1" s="55"/>
      <c r="M1" s="56" t="s">
        <v>242</v>
      </c>
      <c r="N1" s="5"/>
      <c r="O1" s="195">
        <v>4</v>
      </c>
      <c r="P1" s="5"/>
      <c r="Q1" s="5"/>
      <c r="R1" s="5"/>
      <c r="S1" s="5"/>
      <c r="T1" s="5"/>
      <c r="U1" s="5"/>
      <c r="V1" s="5"/>
      <c r="W1" s="5"/>
    </row>
    <row r="2" spans="1:24" x14ac:dyDescent="0.25">
      <c r="B2" s="55"/>
      <c r="C2" s="55"/>
      <c r="D2" s="302"/>
      <c r="E2" s="302"/>
      <c r="F2" s="302"/>
      <c r="G2" s="302"/>
      <c r="H2" s="302"/>
      <c r="I2" s="55"/>
      <c r="J2" s="55"/>
      <c r="K2" s="55"/>
      <c r="L2" s="55"/>
      <c r="M2" s="54"/>
      <c r="N2" s="295"/>
      <c r="O2" s="295"/>
      <c r="P2" s="295"/>
      <c r="Q2" s="295"/>
      <c r="R2" s="295"/>
      <c r="S2" s="295"/>
      <c r="T2" s="295"/>
      <c r="U2" s="295"/>
      <c r="V2" s="295"/>
      <c r="W2" s="295"/>
    </row>
    <row r="3" spans="1:24" s="132" customFormat="1" ht="21" x14ac:dyDescent="0.25">
      <c r="A3" s="56" t="s">
        <v>251</v>
      </c>
      <c r="B3" s="334"/>
      <c r="C3" s="403">
        <v>2020</v>
      </c>
      <c r="D3" s="404"/>
      <c r="E3" s="335"/>
      <c r="F3" s="403">
        <v>2019</v>
      </c>
      <c r="G3" s="405"/>
      <c r="H3" s="423"/>
      <c r="I3" s="423"/>
      <c r="J3" s="424"/>
      <c r="K3" s="335"/>
      <c r="L3" s="403">
        <v>2018</v>
      </c>
      <c r="M3" s="423"/>
      <c r="N3" s="423"/>
      <c r="O3" s="423"/>
      <c r="P3" s="424"/>
      <c r="Q3" s="334"/>
      <c r="R3" s="403">
        <v>2017</v>
      </c>
      <c r="S3" s="405"/>
      <c r="T3" s="405"/>
      <c r="U3" s="404"/>
      <c r="V3" s="335"/>
      <c r="W3" s="337" t="s">
        <v>98</v>
      </c>
    </row>
    <row r="4" spans="1:24" x14ac:dyDescent="0.25">
      <c r="A4" s="23"/>
      <c r="B4" s="23"/>
      <c r="C4" s="420" t="s">
        <v>261</v>
      </c>
      <c r="D4" s="401" t="s">
        <v>44</v>
      </c>
      <c r="E4" s="290"/>
      <c r="F4" s="420" t="s">
        <v>165</v>
      </c>
      <c r="G4" s="419" t="s">
        <v>163</v>
      </c>
      <c r="H4" s="419"/>
      <c r="I4" s="292" t="s">
        <v>118</v>
      </c>
      <c r="J4" s="292" t="s">
        <v>97</v>
      </c>
      <c r="K4" s="292"/>
      <c r="L4" s="420" t="s">
        <v>164</v>
      </c>
      <c r="M4" s="409" t="s">
        <v>163</v>
      </c>
      <c r="N4" s="409"/>
      <c r="O4" s="24" t="s">
        <v>118</v>
      </c>
      <c r="P4" s="24" t="s">
        <v>97</v>
      </c>
      <c r="Q4" s="23"/>
      <c r="R4" s="409" t="s">
        <v>163</v>
      </c>
      <c r="S4" s="422"/>
      <c r="T4" s="24" t="s">
        <v>118</v>
      </c>
      <c r="U4" s="24" t="s">
        <v>97</v>
      </c>
      <c r="V4" s="24"/>
      <c r="W4" s="25"/>
    </row>
    <row r="5" spans="1:24" x14ac:dyDescent="0.25">
      <c r="A5" s="23"/>
      <c r="B5" s="23"/>
      <c r="C5" s="431"/>
      <c r="D5" s="402"/>
      <c r="E5" s="291"/>
      <c r="F5" s="431"/>
      <c r="G5" s="26" t="s">
        <v>161</v>
      </c>
      <c r="H5" s="409" t="s">
        <v>162</v>
      </c>
      <c r="I5" s="408"/>
      <c r="J5" s="408"/>
      <c r="K5" s="293"/>
      <c r="L5" s="421"/>
      <c r="M5" s="26" t="s">
        <v>161</v>
      </c>
      <c r="N5" s="409" t="s">
        <v>162</v>
      </c>
      <c r="O5" s="408"/>
      <c r="P5" s="408"/>
      <c r="Q5" s="23"/>
      <c r="R5" s="26" t="s">
        <v>161</v>
      </c>
      <c r="S5" s="409" t="s">
        <v>162</v>
      </c>
      <c r="T5" s="408"/>
      <c r="U5" s="408"/>
      <c r="V5" s="24"/>
      <c r="W5" s="25"/>
    </row>
    <row r="6" spans="1:24" x14ac:dyDescent="0.25">
      <c r="A6" s="23"/>
      <c r="B6" s="23"/>
      <c r="C6" s="348"/>
      <c r="D6" s="291"/>
      <c r="E6" s="291"/>
      <c r="F6" s="348"/>
      <c r="G6" s="26"/>
      <c r="H6" s="294"/>
      <c r="I6" s="293"/>
      <c r="J6" s="293"/>
      <c r="K6" s="293"/>
      <c r="L6" s="349"/>
      <c r="M6" s="26"/>
      <c r="N6" s="294"/>
      <c r="O6" s="293"/>
      <c r="P6" s="293"/>
      <c r="Q6" s="23"/>
      <c r="R6" s="26"/>
      <c r="S6" s="294"/>
      <c r="T6" s="293"/>
      <c r="U6" s="293"/>
      <c r="V6" s="292"/>
      <c r="W6" s="25"/>
    </row>
    <row r="7" spans="1:24" x14ac:dyDescent="0.25">
      <c r="A7" s="78" t="s">
        <v>20</v>
      </c>
      <c r="B7" s="78"/>
      <c r="C7" s="78"/>
      <c r="D7" s="307"/>
      <c r="E7" s="307"/>
      <c r="F7" s="79"/>
      <c r="G7" s="80"/>
      <c r="H7" s="307"/>
      <c r="J7" s="81"/>
      <c r="K7" s="81"/>
      <c r="L7" s="79"/>
      <c r="M7" s="80"/>
      <c r="N7" s="81"/>
      <c r="O7" s="81"/>
      <c r="P7" s="81"/>
      <c r="Q7" s="81"/>
      <c r="R7" s="80"/>
      <c r="S7" s="81"/>
      <c r="T7" s="81"/>
      <c r="U7" s="81"/>
      <c r="V7" s="5"/>
      <c r="W7" s="5"/>
    </row>
    <row r="8" spans="1:24" x14ac:dyDescent="0.25">
      <c r="A8" s="83" t="s">
        <v>21</v>
      </c>
      <c r="B8" s="83"/>
      <c r="C8" s="84">
        <f>D8-G8</f>
        <v>53</v>
      </c>
      <c r="D8" s="329">
        <v>307</v>
      </c>
      <c r="E8" s="308"/>
      <c r="F8" s="84">
        <f>G8-M8</f>
        <v>-46</v>
      </c>
      <c r="G8" s="85">
        <v>254</v>
      </c>
      <c r="H8" s="86">
        <f>G8/12*10</f>
        <v>211.66666666666669</v>
      </c>
      <c r="I8" s="343">
        <v>248</v>
      </c>
      <c r="J8" s="86">
        <f>H8-I8</f>
        <v>-36.333333333333314</v>
      </c>
      <c r="K8" s="81"/>
      <c r="L8" s="79">
        <f>M8-R8</f>
        <v>60</v>
      </c>
      <c r="M8" s="85">
        <v>300</v>
      </c>
      <c r="N8" s="86">
        <f>M8/12*10</f>
        <v>250</v>
      </c>
      <c r="O8" s="86">
        <v>160</v>
      </c>
      <c r="P8" s="86">
        <f>N8-O8</f>
        <v>90</v>
      </c>
      <c r="Q8" s="81"/>
      <c r="R8" s="80">
        <v>240</v>
      </c>
      <c r="S8" s="86">
        <f>R8/12*10</f>
        <v>200</v>
      </c>
      <c r="T8" s="81">
        <v>160</v>
      </c>
      <c r="U8" s="81">
        <f>S8-T8</f>
        <v>40</v>
      </c>
      <c r="V8" s="13"/>
      <c r="W8" s="75"/>
    </row>
    <row r="9" spans="1:24" x14ac:dyDescent="0.25">
      <c r="A9" s="83" t="s">
        <v>14</v>
      </c>
      <c r="B9" s="83" t="s">
        <v>167</v>
      </c>
      <c r="C9" s="84">
        <f>D9-G9</f>
        <v>-2.5500000000000114</v>
      </c>
      <c r="D9" s="329">
        <v>150</v>
      </c>
      <c r="E9" s="308"/>
      <c r="F9" s="84">
        <f>G9-M9</f>
        <v>2.5500000000000114</v>
      </c>
      <c r="G9" s="85">
        <f>M9+(M9*$C$31)</f>
        <v>152.55000000000001</v>
      </c>
      <c r="H9" s="86">
        <f>G9/12*10</f>
        <v>127.125</v>
      </c>
      <c r="I9" s="343">
        <v>100</v>
      </c>
      <c r="J9" s="86">
        <f>H9-I9</f>
        <v>27.125</v>
      </c>
      <c r="K9" s="81"/>
      <c r="L9" s="79">
        <f t="shared" ref="L9:L11" si="0">M9-R9</f>
        <v>0</v>
      </c>
      <c r="M9" s="85">
        <v>150</v>
      </c>
      <c r="N9" s="86">
        <f>M9/12*10</f>
        <v>125</v>
      </c>
      <c r="O9" s="86">
        <v>130</v>
      </c>
      <c r="P9" s="86">
        <f>N9-O9</f>
        <v>-5</v>
      </c>
      <c r="Q9" s="81"/>
      <c r="R9" s="80">
        <v>150</v>
      </c>
      <c r="S9" s="86">
        <f>R9/12*10</f>
        <v>125</v>
      </c>
      <c r="T9" s="81">
        <v>130</v>
      </c>
      <c r="U9" s="81">
        <f>S9-T9</f>
        <v>-5</v>
      </c>
      <c r="V9" s="13"/>
      <c r="W9" s="75"/>
      <c r="X9" s="19"/>
    </row>
    <row r="10" spans="1:24" x14ac:dyDescent="0.25">
      <c r="A10" s="83" t="s">
        <v>15</v>
      </c>
      <c r="B10" s="83" t="s">
        <v>167</v>
      </c>
      <c r="C10" s="84">
        <f>D10-G10</f>
        <v>-45.25</v>
      </c>
      <c r="D10" s="329">
        <v>209</v>
      </c>
      <c r="E10" s="308"/>
      <c r="F10" s="84">
        <f>G10-M10</f>
        <v>4.25</v>
      </c>
      <c r="G10" s="85">
        <f>M10+(M10*$C$31)</f>
        <v>254.25</v>
      </c>
      <c r="H10" s="86">
        <f>G10/12*10</f>
        <v>211.875</v>
      </c>
      <c r="I10" s="343">
        <v>200</v>
      </c>
      <c r="J10" s="86">
        <f>H10-I10</f>
        <v>11.875</v>
      </c>
      <c r="K10" s="81"/>
      <c r="L10" s="79">
        <f t="shared" si="0"/>
        <v>50</v>
      </c>
      <c r="M10" s="85">
        <v>250</v>
      </c>
      <c r="N10" s="86">
        <f>M10/12*10</f>
        <v>208.33333333333331</v>
      </c>
      <c r="O10" s="86">
        <v>0</v>
      </c>
      <c r="P10" s="86">
        <f>N10-O10</f>
        <v>208.33333333333331</v>
      </c>
      <c r="Q10" s="81"/>
      <c r="R10" s="80">
        <v>200</v>
      </c>
      <c r="S10" s="86">
        <f>R10/12*10</f>
        <v>166.66666666666669</v>
      </c>
      <c r="T10" s="81">
        <v>0</v>
      </c>
      <c r="U10" s="81">
        <f>S10-T10</f>
        <v>166.66666666666669</v>
      </c>
      <c r="V10" s="13"/>
      <c r="W10" s="148"/>
    </row>
    <row r="11" spans="1:24" x14ac:dyDescent="0.25">
      <c r="A11" s="83" t="s">
        <v>155</v>
      </c>
      <c r="B11" s="83"/>
      <c r="C11" s="84">
        <f>D11-G11</f>
        <v>0</v>
      </c>
      <c r="D11" s="329">
        <v>168</v>
      </c>
      <c r="E11" s="308"/>
      <c r="F11" s="84">
        <f>G11-M11</f>
        <v>168</v>
      </c>
      <c r="G11" s="85">
        <f>(70+70)*1.2</f>
        <v>168</v>
      </c>
      <c r="H11" s="86">
        <f>G11/12*10</f>
        <v>140</v>
      </c>
      <c r="I11" s="343">
        <v>168</v>
      </c>
      <c r="J11" s="86">
        <f>H11-I11</f>
        <v>-28</v>
      </c>
      <c r="K11" s="81"/>
      <c r="L11" s="79">
        <f t="shared" si="0"/>
        <v>0</v>
      </c>
      <c r="M11" s="85">
        <v>0</v>
      </c>
      <c r="N11" s="86">
        <f>M11/12*10</f>
        <v>0</v>
      </c>
      <c r="O11" s="86">
        <v>0</v>
      </c>
      <c r="P11" s="86">
        <f>N11-O11</f>
        <v>0</v>
      </c>
      <c r="Q11" s="81"/>
      <c r="R11" s="80">
        <v>0</v>
      </c>
      <c r="S11" s="86">
        <f>R11/12*10</f>
        <v>0</v>
      </c>
      <c r="T11" s="81">
        <v>0</v>
      </c>
      <c r="U11" s="81">
        <f>S11-T11</f>
        <v>0</v>
      </c>
      <c r="V11" s="13"/>
    </row>
    <row r="12" spans="1:24" x14ac:dyDescent="0.25">
      <c r="A12" s="83"/>
      <c r="B12" s="83"/>
      <c r="C12" s="84"/>
      <c r="D12" s="308"/>
      <c r="E12" s="308"/>
      <c r="F12" s="84"/>
      <c r="G12" s="85"/>
      <c r="H12" s="86"/>
      <c r="I12" s="86"/>
      <c r="J12" s="86"/>
      <c r="K12" s="81"/>
      <c r="L12" s="79"/>
      <c r="M12" s="85"/>
      <c r="N12" s="86"/>
      <c r="O12" s="86"/>
      <c r="P12" s="86"/>
      <c r="Q12" s="81"/>
      <c r="R12" s="80"/>
      <c r="S12" s="81"/>
      <c r="T12" s="81"/>
      <c r="U12" s="81"/>
      <c r="V12" s="13"/>
    </row>
    <row r="13" spans="1:24" s="132" customFormat="1" ht="15.75" thickBot="1" x14ac:dyDescent="0.3">
      <c r="A13" s="138" t="s">
        <v>170</v>
      </c>
      <c r="B13" s="78"/>
      <c r="C13" s="88">
        <f>SUM(C7:C12)</f>
        <v>5.1999999999999886</v>
      </c>
      <c r="D13" s="89">
        <f>SUM(D7:D12)</f>
        <v>834</v>
      </c>
      <c r="E13" s="103"/>
      <c r="F13" s="88">
        <f>SUM(F7:F12)</f>
        <v>128.80000000000001</v>
      </c>
      <c r="G13" s="89">
        <f>SUM(G7:G12)</f>
        <v>828.8</v>
      </c>
      <c r="H13" s="91">
        <f t="shared" ref="H13:J13" si="1">SUM(H7:H12)</f>
        <v>690.66666666666674</v>
      </c>
      <c r="I13" s="91">
        <f t="shared" si="1"/>
        <v>716</v>
      </c>
      <c r="J13" s="91">
        <f t="shared" si="1"/>
        <v>-25.333333333333314</v>
      </c>
      <c r="K13" s="90"/>
      <c r="L13" s="88">
        <f t="shared" ref="L13:P13" si="2">SUM(L7:L12)</f>
        <v>110</v>
      </c>
      <c r="M13" s="89">
        <f t="shared" si="2"/>
        <v>700</v>
      </c>
      <c r="N13" s="91">
        <f t="shared" si="2"/>
        <v>583.33333333333326</v>
      </c>
      <c r="O13" s="91">
        <f t="shared" si="2"/>
        <v>290</v>
      </c>
      <c r="P13" s="91">
        <f t="shared" si="2"/>
        <v>293.33333333333331</v>
      </c>
      <c r="Q13" s="90"/>
      <c r="R13" s="92">
        <f t="shared" ref="R13:U13" si="3">SUM(R7:R12)</f>
        <v>590</v>
      </c>
      <c r="S13" s="91">
        <f t="shared" si="3"/>
        <v>491.66666666666669</v>
      </c>
      <c r="T13" s="91">
        <f t="shared" si="3"/>
        <v>290</v>
      </c>
      <c r="U13" s="91">
        <f t="shared" si="3"/>
        <v>201.66666666666669</v>
      </c>
      <c r="V13" s="15"/>
    </row>
    <row r="14" spans="1:24" x14ac:dyDescent="0.25">
      <c r="C14" s="115"/>
      <c r="F14" s="115"/>
      <c r="G14" s="116"/>
      <c r="H14" s="117"/>
      <c r="I14" s="117"/>
      <c r="J14" s="117"/>
      <c r="K14" s="117"/>
      <c r="L14" s="115"/>
      <c r="M14" s="116"/>
      <c r="N14" s="117"/>
      <c r="O14" s="117"/>
      <c r="P14" s="117"/>
      <c r="Q14" s="117"/>
      <c r="R14" s="116"/>
      <c r="S14" s="117"/>
      <c r="T14" s="117"/>
      <c r="U14" s="117"/>
    </row>
    <row r="15" spans="1:24" x14ac:dyDescent="0.25">
      <c r="A15" s="44" t="s">
        <v>23</v>
      </c>
      <c r="C15" s="115"/>
      <c r="F15" s="115"/>
      <c r="G15" s="116"/>
      <c r="H15" s="117"/>
      <c r="I15" s="117"/>
      <c r="J15" s="117"/>
      <c r="K15" s="117"/>
      <c r="L15" s="115"/>
      <c r="M15" s="116"/>
      <c r="N15" s="117"/>
      <c r="O15" s="117"/>
      <c r="P15" s="117"/>
      <c r="Q15" s="117"/>
      <c r="R15" s="116"/>
      <c r="S15" s="117"/>
      <c r="T15" s="117"/>
      <c r="U15" s="117"/>
    </row>
    <row r="16" spans="1:24" x14ac:dyDescent="0.25">
      <c r="A16" s="50" t="s">
        <v>22</v>
      </c>
      <c r="B16" s="83" t="s">
        <v>167</v>
      </c>
      <c r="C16" s="84">
        <f t="shared" ref="C16:C21" si="4">D16-G16</f>
        <v>1.5999999999999943</v>
      </c>
      <c r="D16" s="329">
        <v>205</v>
      </c>
      <c r="E16" s="308"/>
      <c r="F16" s="84">
        <f t="shared" ref="F16:F21" si="5">G16-M16</f>
        <v>3.4000000000000057</v>
      </c>
      <c r="G16" s="85">
        <f>M16+(M16*$C$31)</f>
        <v>203.4</v>
      </c>
      <c r="H16" s="86">
        <f t="shared" ref="H16:H21" si="6">G16/12*10</f>
        <v>169.5</v>
      </c>
      <c r="I16" s="343">
        <v>510</v>
      </c>
      <c r="J16" s="86">
        <f t="shared" ref="J16:J21" si="7">H16-I16</f>
        <v>-340.5</v>
      </c>
      <c r="K16" s="117"/>
      <c r="L16" s="79">
        <f t="shared" ref="L16:L21" si="8">M16-R16</f>
        <v>0</v>
      </c>
      <c r="M16" s="116">
        <v>200</v>
      </c>
      <c r="N16" s="86">
        <f t="shared" ref="N16:N21" si="9">M16/12*10</f>
        <v>166.66666666666669</v>
      </c>
      <c r="O16" s="86">
        <v>788.9</v>
      </c>
      <c r="P16" s="86">
        <f t="shared" ref="P16:P21" si="10">N16-O16</f>
        <v>-622.23333333333335</v>
      </c>
      <c r="Q16" s="117"/>
      <c r="R16" s="116">
        <v>200</v>
      </c>
      <c r="S16" s="86">
        <f t="shared" ref="S16:S21" si="11">R16/12*10</f>
        <v>166.66666666666669</v>
      </c>
      <c r="T16" s="117">
        <v>155</v>
      </c>
      <c r="U16" s="81">
        <f t="shared" ref="U16:U21" si="12">S16-T16</f>
        <v>11.666666666666686</v>
      </c>
    </row>
    <row r="17" spans="1:24" x14ac:dyDescent="0.25">
      <c r="A17" s="50" t="s">
        <v>16</v>
      </c>
      <c r="B17" s="83" t="s">
        <v>167</v>
      </c>
      <c r="C17" s="84">
        <f t="shared" si="4"/>
        <v>-0.85000000000000142</v>
      </c>
      <c r="D17" s="329">
        <v>50</v>
      </c>
      <c r="E17" s="308"/>
      <c r="F17" s="84">
        <f t="shared" si="5"/>
        <v>0.85000000000000142</v>
      </c>
      <c r="G17" s="85">
        <f>M17+(M17*$C$31)</f>
        <v>50.85</v>
      </c>
      <c r="H17" s="86">
        <f t="shared" si="6"/>
        <v>42.375</v>
      </c>
      <c r="I17" s="343">
        <v>0</v>
      </c>
      <c r="J17" s="86">
        <f t="shared" si="7"/>
        <v>42.375</v>
      </c>
      <c r="K17" s="117"/>
      <c r="L17" s="79">
        <f t="shared" si="8"/>
        <v>0</v>
      </c>
      <c r="M17" s="116">
        <v>50</v>
      </c>
      <c r="N17" s="86">
        <f t="shared" si="9"/>
        <v>41.666666666666671</v>
      </c>
      <c r="O17" s="86">
        <v>23.88</v>
      </c>
      <c r="P17" s="86">
        <f t="shared" si="10"/>
        <v>17.786666666666672</v>
      </c>
      <c r="Q17" s="117"/>
      <c r="R17" s="116">
        <v>50</v>
      </c>
      <c r="S17" s="86">
        <f t="shared" si="11"/>
        <v>41.666666666666671</v>
      </c>
      <c r="T17" s="117">
        <v>0</v>
      </c>
      <c r="U17" s="81">
        <f t="shared" si="12"/>
        <v>41.666666666666671</v>
      </c>
    </row>
    <row r="18" spans="1:24" x14ac:dyDescent="0.25">
      <c r="A18" s="50" t="s">
        <v>24</v>
      </c>
      <c r="B18" s="83" t="s">
        <v>167</v>
      </c>
      <c r="C18" s="84">
        <f t="shared" si="4"/>
        <v>9.1499999999999986</v>
      </c>
      <c r="D18" s="329">
        <v>60</v>
      </c>
      <c r="E18" s="308"/>
      <c r="F18" s="84">
        <f t="shared" si="5"/>
        <v>0.85000000000000142</v>
      </c>
      <c r="G18" s="85">
        <f>M18+(M18*$C$31)</f>
        <v>50.85</v>
      </c>
      <c r="H18" s="86">
        <f t="shared" si="6"/>
        <v>42.375</v>
      </c>
      <c r="I18" s="343">
        <v>89</v>
      </c>
      <c r="J18" s="86">
        <f t="shared" si="7"/>
        <v>-46.625</v>
      </c>
      <c r="K18" s="117"/>
      <c r="L18" s="79">
        <f t="shared" si="8"/>
        <v>0</v>
      </c>
      <c r="M18" s="116">
        <v>50</v>
      </c>
      <c r="N18" s="86">
        <f t="shared" si="9"/>
        <v>41.666666666666671</v>
      </c>
      <c r="O18" s="86">
        <v>340</v>
      </c>
      <c r="P18" s="86">
        <f t="shared" si="10"/>
        <v>-298.33333333333331</v>
      </c>
      <c r="Q18" s="117"/>
      <c r="R18" s="116">
        <v>50</v>
      </c>
      <c r="S18" s="86">
        <f t="shared" si="11"/>
        <v>41.666666666666671</v>
      </c>
      <c r="T18" s="117">
        <v>20</v>
      </c>
      <c r="U18" s="81">
        <f t="shared" si="12"/>
        <v>21.666666666666671</v>
      </c>
    </row>
    <row r="19" spans="1:24" x14ac:dyDescent="0.25">
      <c r="A19" s="50" t="s">
        <v>12</v>
      </c>
      <c r="B19" s="83" t="s">
        <v>167</v>
      </c>
      <c r="C19" s="84">
        <f t="shared" si="4"/>
        <v>-1.7000000000000028</v>
      </c>
      <c r="D19" s="329">
        <v>100</v>
      </c>
      <c r="E19" s="308"/>
      <c r="F19" s="84">
        <f t="shared" si="5"/>
        <v>1.7000000000000028</v>
      </c>
      <c r="G19" s="85">
        <f>M19+(M19*$C$31)</f>
        <v>101.7</v>
      </c>
      <c r="H19" s="86">
        <f t="shared" si="6"/>
        <v>84.75</v>
      </c>
      <c r="I19" s="343">
        <v>110</v>
      </c>
      <c r="J19" s="86">
        <f t="shared" si="7"/>
        <v>-25.25</v>
      </c>
      <c r="K19" s="117"/>
      <c r="L19" s="79">
        <f t="shared" si="8"/>
        <v>47</v>
      </c>
      <c r="M19" s="116">
        <v>100</v>
      </c>
      <c r="N19" s="86">
        <f t="shared" si="9"/>
        <v>83.333333333333343</v>
      </c>
      <c r="O19" s="86">
        <v>222.77</v>
      </c>
      <c r="P19" s="86">
        <f t="shared" si="10"/>
        <v>-139.43666666666667</v>
      </c>
      <c r="Q19" s="117"/>
      <c r="R19" s="116">
        <v>53</v>
      </c>
      <c r="S19" s="86">
        <f t="shared" si="11"/>
        <v>44.166666666666671</v>
      </c>
      <c r="T19" s="117">
        <v>90</v>
      </c>
      <c r="U19" s="81">
        <f t="shared" si="12"/>
        <v>-45.833333333333329</v>
      </c>
    </row>
    <row r="20" spans="1:24" x14ac:dyDescent="0.25">
      <c r="A20" s="50" t="s">
        <v>25</v>
      </c>
      <c r="B20" s="83" t="s">
        <v>167</v>
      </c>
      <c r="C20" s="84">
        <f t="shared" si="4"/>
        <v>45.959999999999994</v>
      </c>
      <c r="D20" s="329">
        <v>168</v>
      </c>
      <c r="E20" s="308"/>
      <c r="F20" s="84">
        <f t="shared" si="5"/>
        <v>2.0400000000000063</v>
      </c>
      <c r="G20" s="85">
        <f>M20+(M20*$C$31)</f>
        <v>122.04</v>
      </c>
      <c r="H20" s="86">
        <f t="shared" si="6"/>
        <v>101.7</v>
      </c>
      <c r="I20" s="343">
        <v>307</v>
      </c>
      <c r="J20" s="86">
        <f t="shared" si="7"/>
        <v>-205.3</v>
      </c>
      <c r="K20" s="117"/>
      <c r="L20" s="79">
        <f t="shared" si="8"/>
        <v>20</v>
      </c>
      <c r="M20" s="116">
        <v>120</v>
      </c>
      <c r="N20" s="86">
        <f t="shared" si="9"/>
        <v>100</v>
      </c>
      <c r="O20" s="86">
        <v>24</v>
      </c>
      <c r="P20" s="86">
        <f t="shared" si="10"/>
        <v>76</v>
      </c>
      <c r="Q20" s="117"/>
      <c r="R20" s="116">
        <v>100</v>
      </c>
      <c r="S20" s="86">
        <f t="shared" si="11"/>
        <v>83.333333333333343</v>
      </c>
      <c r="T20" s="117">
        <v>58</v>
      </c>
      <c r="U20" s="81">
        <f t="shared" si="12"/>
        <v>25.333333333333343</v>
      </c>
    </row>
    <row r="21" spans="1:24" x14ac:dyDescent="0.25">
      <c r="A21" s="50" t="s">
        <v>152</v>
      </c>
      <c r="C21" s="84">
        <f t="shared" si="4"/>
        <v>-128.76190476190476</v>
      </c>
      <c r="D21" s="328">
        <v>0</v>
      </c>
      <c r="F21" s="84">
        <f t="shared" si="5"/>
        <v>128.76190476190476</v>
      </c>
      <c r="G21" s="116">
        <f>Reserves!X16</f>
        <v>128.76190476190476</v>
      </c>
      <c r="H21" s="86">
        <f t="shared" si="6"/>
        <v>107.30158730158729</v>
      </c>
      <c r="I21" s="343">
        <v>0</v>
      </c>
      <c r="J21" s="86">
        <f t="shared" si="7"/>
        <v>107.30158730158729</v>
      </c>
      <c r="K21" s="117"/>
      <c r="L21" s="79">
        <f t="shared" si="8"/>
        <v>0</v>
      </c>
      <c r="M21" s="116">
        <v>0</v>
      </c>
      <c r="N21" s="86">
        <f t="shared" si="9"/>
        <v>0</v>
      </c>
      <c r="O21" s="86">
        <v>0</v>
      </c>
      <c r="P21" s="86">
        <f t="shared" si="10"/>
        <v>0</v>
      </c>
      <c r="Q21" s="117"/>
      <c r="R21" s="116">
        <v>0</v>
      </c>
      <c r="S21" s="86">
        <f t="shared" si="11"/>
        <v>0</v>
      </c>
      <c r="T21" s="117">
        <v>0</v>
      </c>
      <c r="U21" s="81">
        <f t="shared" si="12"/>
        <v>0</v>
      </c>
    </row>
    <row r="22" spans="1:24" x14ac:dyDescent="0.25">
      <c r="A22" s="50"/>
      <c r="C22" s="115"/>
      <c r="F22" s="115"/>
      <c r="G22" s="116"/>
      <c r="H22" s="117"/>
      <c r="I22" s="117"/>
      <c r="J22" s="117"/>
      <c r="K22" s="117"/>
      <c r="L22" s="115"/>
      <c r="M22" s="116"/>
      <c r="N22" s="117"/>
      <c r="O22" s="117"/>
      <c r="P22" s="117"/>
      <c r="Q22" s="117"/>
      <c r="R22" s="116"/>
      <c r="S22" s="117"/>
      <c r="T22" s="117"/>
      <c r="U22" s="117"/>
    </row>
    <row r="23" spans="1:24" s="132" customFormat="1" ht="15.75" thickBot="1" x14ac:dyDescent="0.3">
      <c r="A23" s="138" t="s">
        <v>171</v>
      </c>
      <c r="C23" s="139">
        <f>SUM(C15:C22)</f>
        <v>-74.601904761904777</v>
      </c>
      <c r="D23" s="140">
        <f>SUM(D15:D22)</f>
        <v>583</v>
      </c>
      <c r="E23" s="321"/>
      <c r="F23" s="139">
        <f>SUM(F15:F22)</f>
        <v>137.60190476190479</v>
      </c>
      <c r="G23" s="140">
        <f>SUM(G15:G22)</f>
        <v>657.60190476190473</v>
      </c>
      <c r="H23" s="138">
        <f>SUM(H15:H22)</f>
        <v>548.00158730158728</v>
      </c>
      <c r="I23" s="138">
        <f>SUM(I15:I22)</f>
        <v>1016</v>
      </c>
      <c r="J23" s="138">
        <f>SUM(J15:J22)</f>
        <v>-467.99841269841266</v>
      </c>
      <c r="K23" s="141"/>
      <c r="L23" s="139">
        <f>SUM(L15:L22)</f>
        <v>67</v>
      </c>
      <c r="M23" s="140">
        <f>SUM(M15:M22)</f>
        <v>520</v>
      </c>
      <c r="N23" s="138">
        <f>SUM(N15:N22)</f>
        <v>433.33333333333337</v>
      </c>
      <c r="O23" s="138">
        <f>SUM(O15:O22)</f>
        <v>1399.55</v>
      </c>
      <c r="P23" s="138">
        <f>SUM(P15:P22)</f>
        <v>-966.2166666666667</v>
      </c>
      <c r="Q23" s="141"/>
      <c r="R23" s="140">
        <f>SUM(R15:R22)</f>
        <v>453</v>
      </c>
      <c r="S23" s="138">
        <f>SUM(S15:S22)</f>
        <v>377.50000000000011</v>
      </c>
      <c r="T23" s="138">
        <f>SUM(T15:T22)</f>
        <v>323</v>
      </c>
      <c r="U23" s="138">
        <f>SUM(U15:U22)</f>
        <v>54.500000000000043</v>
      </c>
    </row>
    <row r="24" spans="1:24" x14ac:dyDescent="0.25">
      <c r="A24" s="35"/>
      <c r="C24" s="115"/>
      <c r="D24" s="152"/>
      <c r="E24" s="152"/>
      <c r="F24" s="115"/>
      <c r="G24" s="152"/>
      <c r="H24" s="117"/>
      <c r="I24" s="117"/>
      <c r="J24" s="117"/>
      <c r="K24" s="117"/>
      <c r="L24" s="115"/>
      <c r="M24" s="116"/>
      <c r="N24" s="117"/>
      <c r="O24" s="117"/>
      <c r="P24" s="117"/>
      <c r="Q24" s="117"/>
      <c r="R24" s="124"/>
      <c r="S24" s="117"/>
      <c r="T24" s="125"/>
      <c r="U24" s="117"/>
    </row>
    <row r="25" spans="1:24" s="132" customFormat="1" ht="15.75" thickBot="1" x14ac:dyDescent="0.3">
      <c r="A25" s="138" t="s">
        <v>169</v>
      </c>
      <c r="C25" s="139">
        <f>C13+C23</f>
        <v>-69.401904761904788</v>
      </c>
      <c r="D25" s="140">
        <f>D13+D23</f>
        <v>1417</v>
      </c>
      <c r="E25" s="321"/>
      <c r="F25" s="139">
        <f>F13+F23</f>
        <v>266.4019047619048</v>
      </c>
      <c r="G25" s="140">
        <f>G13+G23</f>
        <v>1486.4019047619047</v>
      </c>
      <c r="H25" s="138">
        <f>H13+H23</f>
        <v>1238.668253968254</v>
      </c>
      <c r="I25" s="138">
        <f>I13+I23</f>
        <v>1732</v>
      </c>
      <c r="J25" s="138">
        <f>J13+J23</f>
        <v>-493.33174603174598</v>
      </c>
      <c r="K25" s="141"/>
      <c r="L25" s="139">
        <f>L13+L23</f>
        <v>177</v>
      </c>
      <c r="M25" s="140">
        <f>M13+M23</f>
        <v>1220</v>
      </c>
      <c r="N25" s="138">
        <f>N13+N23</f>
        <v>1016.6666666666666</v>
      </c>
      <c r="O25" s="138">
        <f>O13+O23</f>
        <v>1689.55</v>
      </c>
      <c r="P25" s="138">
        <f>P13+P23</f>
        <v>-672.88333333333344</v>
      </c>
      <c r="Q25" s="141"/>
      <c r="R25" s="140">
        <f>R13+R23</f>
        <v>1043</v>
      </c>
      <c r="S25" s="138">
        <f>S13+S23</f>
        <v>869.16666666666674</v>
      </c>
      <c r="T25" s="138">
        <f>T13+T23</f>
        <v>613</v>
      </c>
      <c r="U25" s="138">
        <f>U13+U23</f>
        <v>256.16666666666674</v>
      </c>
    </row>
    <row r="26" spans="1:24" x14ac:dyDescent="0.25">
      <c r="C26" s="115"/>
      <c r="F26" s="115"/>
      <c r="G26" s="152"/>
      <c r="H26" s="117"/>
      <c r="I26" s="117"/>
      <c r="J26" s="117"/>
      <c r="K26" s="117"/>
      <c r="L26" s="115"/>
      <c r="M26" s="116"/>
      <c r="N26" s="117"/>
      <c r="O26" s="117"/>
      <c r="P26" s="117"/>
      <c r="Q26" s="117"/>
      <c r="R26" s="124"/>
      <c r="S26" s="117"/>
      <c r="T26" s="125"/>
      <c r="U26" s="117"/>
    </row>
    <row r="27" spans="1:24" x14ac:dyDescent="0.25">
      <c r="A27" s="50" t="s">
        <v>100</v>
      </c>
      <c r="C27" s="84">
        <f>D27-G27</f>
        <v>105</v>
      </c>
      <c r="D27" s="363">
        <f>Reserves!F16</f>
        <v>595</v>
      </c>
      <c r="E27" s="305"/>
      <c r="F27" s="84">
        <f>G27-M27</f>
        <v>-210</v>
      </c>
      <c r="G27" s="116">
        <v>490</v>
      </c>
      <c r="H27" s="86">
        <f>G27/12*10</f>
        <v>408.33333333333337</v>
      </c>
      <c r="I27" s="343"/>
      <c r="J27" s="86">
        <f>H27-I27</f>
        <v>408.33333333333337</v>
      </c>
      <c r="K27" s="117"/>
      <c r="L27" s="79">
        <f t="shared" ref="L27" si="13">M27-R27</f>
        <v>0</v>
      </c>
      <c r="M27" s="116">
        <v>700</v>
      </c>
      <c r="N27" s="86">
        <f>M27/12*10</f>
        <v>583.33333333333337</v>
      </c>
      <c r="O27" s="86">
        <v>0</v>
      </c>
      <c r="P27" s="86">
        <f>N27-O27</f>
        <v>583.33333333333337</v>
      </c>
      <c r="Q27" s="117"/>
      <c r="R27" s="116">
        <v>700</v>
      </c>
      <c r="S27" s="86">
        <f>R27/12*10</f>
        <v>583.33333333333337</v>
      </c>
      <c r="T27" s="117">
        <v>525</v>
      </c>
      <c r="U27" s="81">
        <f>S27-T27</f>
        <v>58.333333333333371</v>
      </c>
      <c r="W27" s="147"/>
    </row>
    <row r="28" spans="1:24" x14ac:dyDescent="0.25">
      <c r="A28" s="50"/>
      <c r="C28" s="115"/>
      <c r="F28" s="115"/>
      <c r="G28" s="116"/>
      <c r="H28" s="117"/>
      <c r="I28" s="117"/>
      <c r="J28" s="117"/>
      <c r="K28" s="117"/>
      <c r="L28" s="115"/>
      <c r="M28" s="116"/>
      <c r="N28" s="117"/>
      <c r="O28" s="117"/>
      <c r="P28" s="117"/>
      <c r="Q28" s="117"/>
      <c r="R28" s="116"/>
      <c r="S28" s="117"/>
      <c r="T28" s="117"/>
      <c r="U28" s="117"/>
      <c r="W28" s="147"/>
    </row>
    <row r="29" spans="1:24" s="132" customFormat="1" ht="15.75" thickBot="1" x14ac:dyDescent="0.3">
      <c r="A29" s="138" t="s">
        <v>1</v>
      </c>
      <c r="C29" s="128">
        <f t="shared" ref="C29" si="14">SUM(C25:C28)</f>
        <v>35.598095238095212</v>
      </c>
      <c r="D29" s="129">
        <f t="shared" ref="D29" si="15">SUM(D25:D28)</f>
        <v>2012</v>
      </c>
      <c r="E29" s="322"/>
      <c r="F29" s="128">
        <f>SUM(F25:F28)</f>
        <v>56.401904761904802</v>
      </c>
      <c r="G29" s="129">
        <f>SUM(G25:G28)</f>
        <v>1976.4019047619047</v>
      </c>
      <c r="H29" s="130">
        <f t="shared" ref="H29:J29" si="16">SUM(H25:H28)</f>
        <v>1647.0015873015873</v>
      </c>
      <c r="I29" s="130">
        <f t="shared" si="16"/>
        <v>1732</v>
      </c>
      <c r="J29" s="130">
        <f t="shared" si="16"/>
        <v>-84.998412698412608</v>
      </c>
      <c r="K29" s="141"/>
      <c r="L29" s="128">
        <f t="shared" ref="L29:P29" si="17">SUM(L25:L28)</f>
        <v>177</v>
      </c>
      <c r="M29" s="129">
        <f t="shared" si="17"/>
        <v>1920</v>
      </c>
      <c r="N29" s="130">
        <f t="shared" si="17"/>
        <v>1600</v>
      </c>
      <c r="O29" s="130">
        <f t="shared" si="17"/>
        <v>1689.55</v>
      </c>
      <c r="P29" s="130">
        <f t="shared" si="17"/>
        <v>-89.550000000000068</v>
      </c>
      <c r="Q29" s="141"/>
      <c r="R29" s="129">
        <f>SUM(R25:R28)</f>
        <v>1743</v>
      </c>
      <c r="S29" s="130">
        <f t="shared" ref="S29:U29" si="18">SUM(S25:S28)</f>
        <v>1452.5</v>
      </c>
      <c r="T29" s="130">
        <f t="shared" si="18"/>
        <v>1138</v>
      </c>
      <c r="U29" s="130">
        <f t="shared" si="18"/>
        <v>314.50000000000011</v>
      </c>
      <c r="W29" s="158">
        <f>SUM(B29:V29)</f>
        <v>17319.405079365079</v>
      </c>
      <c r="X29" s="159" t="s">
        <v>174</v>
      </c>
    </row>
    <row r="30" spans="1:24" x14ac:dyDescent="0.25">
      <c r="F30" s="32"/>
      <c r="G30" s="32"/>
    </row>
    <row r="31" spans="1:24" x14ac:dyDescent="0.25">
      <c r="A31" s="5" t="s">
        <v>166</v>
      </c>
      <c r="C31" s="100">
        <f>Summary!$C$25</f>
        <v>1.7000000000000001E-2</v>
      </c>
      <c r="F31" s="32"/>
      <c r="G31" s="32"/>
    </row>
    <row r="34" spans="1:6" ht="18.75" x14ac:dyDescent="0.25">
      <c r="A34" s="351" t="s">
        <v>267</v>
      </c>
      <c r="B34" s="352"/>
      <c r="C34" s="353" t="s">
        <v>236</v>
      </c>
      <c r="D34" s="354" t="s">
        <v>237</v>
      </c>
      <c r="F34" s="356" t="s">
        <v>268</v>
      </c>
    </row>
    <row r="35" spans="1:6" x14ac:dyDescent="0.25">
      <c r="A35" s="236" t="s">
        <v>303</v>
      </c>
      <c r="B35" s="237"/>
      <c r="C35" s="239"/>
      <c r="D35" s="239"/>
    </row>
    <row r="36" spans="1:6" x14ac:dyDescent="0.25">
      <c r="A36" s="192"/>
      <c r="B36" s="237"/>
      <c r="C36" s="239"/>
      <c r="D36" s="239"/>
    </row>
    <row r="37" spans="1:6" x14ac:dyDescent="0.25">
      <c r="A37" s="192"/>
      <c r="B37" s="237"/>
      <c r="C37" s="238"/>
      <c r="D37" s="239"/>
    </row>
    <row r="38" spans="1:6" x14ac:dyDescent="0.25">
      <c r="A38" s="192"/>
      <c r="B38" s="237"/>
      <c r="C38" s="238"/>
      <c r="D38" s="239"/>
    </row>
    <row r="39" spans="1:6" x14ac:dyDescent="0.25">
      <c r="A39" s="194"/>
      <c r="B39" s="193"/>
      <c r="C39" s="191"/>
      <c r="D39" s="191"/>
    </row>
    <row r="40" spans="1:6" x14ac:dyDescent="0.25">
      <c r="A40" s="194"/>
      <c r="B40" s="193"/>
      <c r="C40" s="191"/>
      <c r="D40" s="191"/>
    </row>
    <row r="41" spans="1:6" x14ac:dyDescent="0.25">
      <c r="A41" s="194"/>
      <c r="B41" s="193"/>
      <c r="C41" s="191"/>
      <c r="D41" s="191"/>
    </row>
    <row r="42" spans="1:6" x14ac:dyDescent="0.25">
      <c r="A42" s="194"/>
      <c r="B42" s="193"/>
      <c r="C42" s="191"/>
      <c r="D42" s="191"/>
    </row>
    <row r="43" spans="1:6" x14ac:dyDescent="0.25">
      <c r="A43" s="194"/>
      <c r="B43" s="193"/>
      <c r="C43" s="191"/>
      <c r="D43" s="191"/>
    </row>
    <row r="44" spans="1:6" x14ac:dyDescent="0.25">
      <c r="A44" s="221"/>
      <c r="B44" s="237"/>
      <c r="C44" s="238"/>
      <c r="D44" s="238"/>
    </row>
    <row r="45" spans="1:6" x14ac:dyDescent="0.25">
      <c r="A45" s="240" t="s">
        <v>201</v>
      </c>
      <c r="B45" s="241"/>
      <c r="C45" s="242">
        <f>SUM(C35:C44)</f>
        <v>0</v>
      </c>
      <c r="D45" s="242">
        <f>SUM(D35:D44)</f>
        <v>0</v>
      </c>
    </row>
    <row r="46" spans="1:6" x14ac:dyDescent="0.25">
      <c r="A46" s="295"/>
      <c r="B46" s="226"/>
      <c r="C46" s="226"/>
      <c r="D46" s="303"/>
    </row>
    <row r="47" spans="1:6" ht="30" customHeight="1" x14ac:dyDescent="0.25">
      <c r="A47" s="414"/>
      <c r="B47" s="415"/>
      <c r="C47" s="415"/>
      <c r="D47" s="415"/>
      <c r="E47" s="425"/>
      <c r="F47" s="425"/>
    </row>
    <row r="48" spans="1:6" ht="30" customHeight="1" x14ac:dyDescent="0.25">
      <c r="A48" s="414"/>
      <c r="B48" s="415"/>
      <c r="C48" s="415"/>
      <c r="D48" s="415"/>
      <c r="E48" s="425"/>
      <c r="F48" s="425"/>
    </row>
    <row r="49" spans="1:6" ht="30" customHeight="1" x14ac:dyDescent="0.25">
      <c r="A49" s="414"/>
      <c r="B49" s="415"/>
      <c r="C49" s="415"/>
      <c r="D49" s="415"/>
      <c r="E49" s="425"/>
      <c r="F49" s="425"/>
    </row>
  </sheetData>
  <mergeCells count="17">
    <mergeCell ref="G4:H4"/>
    <mergeCell ref="H5:J5"/>
    <mergeCell ref="F3:J3"/>
    <mergeCell ref="R3:U3"/>
    <mergeCell ref="F4:F5"/>
    <mergeCell ref="L4:L5"/>
    <mergeCell ref="M4:N4"/>
    <mergeCell ref="R4:S4"/>
    <mergeCell ref="N5:P5"/>
    <mergeCell ref="S5:U5"/>
    <mergeCell ref="L3:P3"/>
    <mergeCell ref="A47:F47"/>
    <mergeCell ref="A48:F48"/>
    <mergeCell ref="A49:F49"/>
    <mergeCell ref="C3:D3"/>
    <mergeCell ref="C4:C5"/>
    <mergeCell ref="D4:D5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74" orientation="landscape" horizont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X35"/>
  <sheetViews>
    <sheetView showGridLines="0" zoomScale="80" zoomScaleNormal="80" workbookViewId="0">
      <pane ySplit="5" topLeftCell="A24" activePane="bottomLeft" state="frozen"/>
      <selection pane="bottomLeft" activeCell="A35" sqref="A35:F35"/>
    </sheetView>
  </sheetViews>
  <sheetFormatPr defaultColWidth="9.140625" defaultRowHeight="15" x14ac:dyDescent="0.25"/>
  <cols>
    <col min="1" max="1" width="45.42578125" style="32" customWidth="1"/>
    <col min="2" max="2" width="2.7109375" style="32" customWidth="1"/>
    <col min="3" max="3" width="11.7109375" style="32" customWidth="1"/>
    <col min="4" max="4" width="11.7109375" style="34" customWidth="1"/>
    <col min="5" max="5" width="2.7109375" style="34" customWidth="1"/>
    <col min="6" max="8" width="11.7109375" style="34" customWidth="1"/>
    <col min="9" max="10" width="11.7109375" style="32" customWidth="1"/>
    <col min="11" max="11" width="2.7109375" style="32" customWidth="1"/>
    <col min="12" max="16" width="11.7109375" style="32" customWidth="1"/>
    <col min="17" max="17" width="2.7109375" style="32" customWidth="1"/>
    <col min="18" max="21" width="11.7109375" style="32" customWidth="1"/>
    <col min="22" max="22" width="2.7109375" style="32" customWidth="1"/>
    <col min="23" max="16384" width="9.140625" style="32"/>
  </cols>
  <sheetData>
    <row r="1" spans="1:24" ht="21" x14ac:dyDescent="0.25">
      <c r="A1" s="53" t="s">
        <v>126</v>
      </c>
      <c r="B1" s="54"/>
      <c r="C1" s="54"/>
      <c r="D1" s="301"/>
      <c r="E1" s="301"/>
      <c r="F1" s="301"/>
      <c r="G1" s="301"/>
      <c r="H1" s="301"/>
      <c r="I1" s="55"/>
      <c r="J1" s="55"/>
      <c r="K1" s="55"/>
      <c r="L1" s="55"/>
      <c r="M1" s="56" t="s">
        <v>242</v>
      </c>
      <c r="N1" s="198"/>
      <c r="O1" s="195">
        <v>8</v>
      </c>
      <c r="P1" s="198"/>
      <c r="Q1" s="198"/>
      <c r="R1" s="198"/>
      <c r="S1" s="198"/>
      <c r="T1" s="198"/>
      <c r="U1" s="198"/>
      <c r="V1" s="198"/>
      <c r="W1" s="198"/>
    </row>
    <row r="2" spans="1:24" x14ac:dyDescent="0.25">
      <c r="B2" s="55"/>
      <c r="C2" s="55"/>
      <c r="D2" s="302"/>
      <c r="E2" s="302"/>
      <c r="F2" s="302"/>
      <c r="G2" s="302"/>
      <c r="H2" s="302"/>
      <c r="I2" s="55"/>
      <c r="J2" s="55"/>
      <c r="K2" s="55"/>
      <c r="L2" s="55"/>
      <c r="M2" s="54"/>
      <c r="N2" s="295"/>
      <c r="O2" s="295"/>
      <c r="P2" s="295"/>
      <c r="Q2" s="295"/>
      <c r="R2" s="295"/>
      <c r="S2" s="295"/>
      <c r="T2" s="295"/>
      <c r="U2" s="295"/>
      <c r="V2" s="295"/>
      <c r="W2" s="295"/>
    </row>
    <row r="3" spans="1:24" s="132" customFormat="1" ht="21" x14ac:dyDescent="0.25">
      <c r="A3" s="56" t="s">
        <v>252</v>
      </c>
      <c r="B3" s="334"/>
      <c r="C3" s="403">
        <v>2020</v>
      </c>
      <c r="D3" s="404"/>
      <c r="E3" s="335"/>
      <c r="F3" s="403">
        <v>2019</v>
      </c>
      <c r="G3" s="405"/>
      <c r="H3" s="423"/>
      <c r="I3" s="423"/>
      <c r="J3" s="424"/>
      <c r="K3" s="335"/>
      <c r="L3" s="403">
        <v>2018</v>
      </c>
      <c r="M3" s="423"/>
      <c r="N3" s="423"/>
      <c r="O3" s="423"/>
      <c r="P3" s="424"/>
      <c r="Q3" s="334"/>
      <c r="R3" s="403">
        <v>2017</v>
      </c>
      <c r="S3" s="405"/>
      <c r="T3" s="405"/>
      <c r="U3" s="404"/>
      <c r="V3" s="335"/>
      <c r="W3" s="337" t="s">
        <v>98</v>
      </c>
    </row>
    <row r="4" spans="1:24" x14ac:dyDescent="0.25">
      <c r="A4" s="23"/>
      <c r="B4" s="23"/>
      <c r="C4" s="420" t="s">
        <v>261</v>
      </c>
      <c r="D4" s="401" t="s">
        <v>44</v>
      </c>
      <c r="E4" s="290"/>
      <c r="F4" s="420" t="s">
        <v>165</v>
      </c>
      <c r="G4" s="419" t="s">
        <v>163</v>
      </c>
      <c r="H4" s="419"/>
      <c r="I4" s="292" t="s">
        <v>118</v>
      </c>
      <c r="J4" s="292" t="s">
        <v>97</v>
      </c>
      <c r="K4" s="292"/>
      <c r="L4" s="420" t="s">
        <v>164</v>
      </c>
      <c r="M4" s="409" t="s">
        <v>163</v>
      </c>
      <c r="N4" s="409"/>
      <c r="O4" s="196" t="s">
        <v>118</v>
      </c>
      <c r="P4" s="196" t="s">
        <v>97</v>
      </c>
      <c r="Q4" s="23"/>
      <c r="R4" s="409" t="s">
        <v>163</v>
      </c>
      <c r="S4" s="422"/>
      <c r="T4" s="196" t="s">
        <v>118</v>
      </c>
      <c r="U4" s="196" t="s">
        <v>97</v>
      </c>
      <c r="V4" s="196"/>
      <c r="W4" s="25"/>
    </row>
    <row r="5" spans="1:24" x14ac:dyDescent="0.25">
      <c r="A5" s="23"/>
      <c r="B5" s="23"/>
      <c r="C5" s="431"/>
      <c r="D5" s="402"/>
      <c r="E5" s="291"/>
      <c r="F5" s="431"/>
      <c r="G5" s="26" t="s">
        <v>161</v>
      </c>
      <c r="H5" s="409" t="s">
        <v>162</v>
      </c>
      <c r="I5" s="408"/>
      <c r="J5" s="408"/>
      <c r="K5" s="293"/>
      <c r="L5" s="421"/>
      <c r="M5" s="26" t="s">
        <v>161</v>
      </c>
      <c r="N5" s="409" t="s">
        <v>162</v>
      </c>
      <c r="O5" s="408"/>
      <c r="P5" s="408"/>
      <c r="Q5" s="23"/>
      <c r="R5" s="26" t="s">
        <v>161</v>
      </c>
      <c r="S5" s="409" t="s">
        <v>162</v>
      </c>
      <c r="T5" s="408"/>
      <c r="U5" s="408"/>
      <c r="V5" s="196"/>
      <c r="W5" s="25"/>
    </row>
    <row r="6" spans="1:24" x14ac:dyDescent="0.25">
      <c r="A6" s="23"/>
      <c r="B6" s="23"/>
      <c r="C6" s="348"/>
      <c r="D6" s="291"/>
      <c r="E6" s="291"/>
      <c r="F6" s="348"/>
      <c r="G6" s="26"/>
      <c r="H6" s="294"/>
      <c r="I6" s="293"/>
      <c r="J6" s="293"/>
      <c r="K6" s="293"/>
      <c r="L6" s="349"/>
      <c r="M6" s="26"/>
      <c r="N6" s="294"/>
      <c r="O6" s="293"/>
      <c r="P6" s="293"/>
      <c r="Q6" s="23"/>
      <c r="R6" s="26"/>
      <c r="S6" s="294"/>
      <c r="T6" s="293"/>
      <c r="U6" s="293"/>
      <c r="V6" s="292"/>
      <c r="W6" s="25"/>
    </row>
    <row r="7" spans="1:24" x14ac:dyDescent="0.25">
      <c r="A7" s="78" t="s">
        <v>20</v>
      </c>
      <c r="B7" s="78"/>
      <c r="C7" s="78"/>
      <c r="D7" s="307"/>
      <c r="E7" s="307"/>
      <c r="F7" s="79"/>
      <c r="G7" s="80"/>
      <c r="H7" s="307"/>
      <c r="J7" s="81"/>
      <c r="K7" s="81"/>
      <c r="L7" s="79"/>
      <c r="M7" s="80"/>
      <c r="N7" s="81"/>
      <c r="O7" s="81"/>
      <c r="P7" s="81"/>
      <c r="Q7" s="81"/>
      <c r="R7" s="80"/>
      <c r="S7" s="81"/>
      <c r="T7" s="81"/>
      <c r="U7" s="81"/>
      <c r="V7" s="5"/>
      <c r="W7" s="5"/>
    </row>
    <row r="8" spans="1:24" x14ac:dyDescent="0.25">
      <c r="A8" s="35" t="s">
        <v>90</v>
      </c>
      <c r="B8" s="83"/>
      <c r="C8" s="84">
        <f>D8-G8</f>
        <v>0</v>
      </c>
      <c r="D8" s="331">
        <f>G8</f>
        <v>440</v>
      </c>
      <c r="E8" s="305"/>
      <c r="F8" s="84">
        <f>G8-M8</f>
        <v>0</v>
      </c>
      <c r="G8" s="85">
        <v>440</v>
      </c>
      <c r="H8" s="86">
        <f>G8/12*10</f>
        <v>366.66666666666663</v>
      </c>
      <c r="I8" s="343">
        <v>0</v>
      </c>
      <c r="J8" s="86">
        <f>H8-I8</f>
        <v>366.66666666666663</v>
      </c>
      <c r="K8" s="81"/>
      <c r="L8" s="79">
        <f>M8-R8</f>
        <v>0</v>
      </c>
      <c r="M8" s="85">
        <v>440</v>
      </c>
      <c r="N8" s="86">
        <f>M8/12*10</f>
        <v>366.66666666666663</v>
      </c>
      <c r="O8" s="86">
        <v>0</v>
      </c>
      <c r="P8" s="86">
        <f>N8-O8</f>
        <v>366.66666666666663</v>
      </c>
      <c r="Q8" s="81"/>
      <c r="R8" s="80">
        <v>440</v>
      </c>
      <c r="S8" s="86">
        <f>R8/12*10</f>
        <v>366.66666666666663</v>
      </c>
      <c r="T8" s="81">
        <v>0</v>
      </c>
      <c r="U8" s="81">
        <f>S8-T8</f>
        <v>366.66666666666663</v>
      </c>
      <c r="V8" s="13"/>
      <c r="W8" s="5"/>
    </row>
    <row r="9" spans="1:24" x14ac:dyDescent="0.25">
      <c r="A9" s="35" t="s">
        <v>125</v>
      </c>
      <c r="B9" s="83"/>
      <c r="C9" s="84">
        <f>D9-G9</f>
        <v>0</v>
      </c>
      <c r="D9" s="329"/>
      <c r="E9" s="308"/>
      <c r="F9" s="84">
        <f>G9-M9</f>
        <v>0</v>
      </c>
      <c r="G9" s="85">
        <v>0</v>
      </c>
      <c r="H9" s="171">
        <f>G9/12*10</f>
        <v>0</v>
      </c>
      <c r="I9" s="343"/>
      <c r="J9" s="86">
        <f>H9-I9</f>
        <v>0</v>
      </c>
      <c r="K9" s="81"/>
      <c r="L9" s="79">
        <f t="shared" ref="L9" si="0">M9-R9</f>
        <v>0</v>
      </c>
      <c r="M9" s="170">
        <v>0</v>
      </c>
      <c r="N9" s="171">
        <f>M9/12*10</f>
        <v>0</v>
      </c>
      <c r="O9" s="86">
        <v>0</v>
      </c>
      <c r="P9" s="86">
        <f>N9-O9</f>
        <v>0</v>
      </c>
      <c r="Q9" s="81"/>
      <c r="R9" s="172">
        <v>0</v>
      </c>
      <c r="S9" s="171">
        <f>R9/12*10</f>
        <v>0</v>
      </c>
      <c r="T9" s="81">
        <v>0</v>
      </c>
      <c r="U9" s="81">
        <f>S9-T9</f>
        <v>0</v>
      </c>
      <c r="V9" s="13"/>
      <c r="W9" s="5"/>
    </row>
    <row r="10" spans="1:24" x14ac:dyDescent="0.25">
      <c r="B10" s="83"/>
      <c r="C10" s="84"/>
      <c r="D10" s="308"/>
      <c r="E10" s="308"/>
      <c r="F10" s="84"/>
      <c r="G10" s="85"/>
      <c r="H10" s="86"/>
      <c r="I10" s="86"/>
      <c r="J10" s="86"/>
      <c r="K10" s="81"/>
      <c r="L10" s="79"/>
      <c r="M10" s="85"/>
      <c r="N10" s="86"/>
      <c r="O10" s="86"/>
      <c r="P10" s="86"/>
      <c r="Q10" s="81"/>
      <c r="R10" s="80"/>
      <c r="S10" s="86"/>
      <c r="T10" s="81"/>
      <c r="U10" s="81"/>
      <c r="V10" s="13"/>
      <c r="W10" s="8"/>
    </row>
    <row r="11" spans="1:24" ht="15.75" thickBot="1" x14ac:dyDescent="0.3">
      <c r="A11" s="138" t="s">
        <v>169</v>
      </c>
      <c r="B11" s="83"/>
      <c r="C11" s="88">
        <f>SUM(C7:C10)</f>
        <v>0</v>
      </c>
      <c r="D11" s="89">
        <f>SUM(D7:D10)</f>
        <v>440</v>
      </c>
      <c r="E11" s="103"/>
      <c r="F11" s="88">
        <f>SUM(F7:F10)</f>
        <v>0</v>
      </c>
      <c r="G11" s="89">
        <f>SUM(G7:G10)</f>
        <v>440</v>
      </c>
      <c r="H11" s="91">
        <f t="shared" ref="H11:J11" si="1">SUM(H7:H10)</f>
        <v>366.66666666666663</v>
      </c>
      <c r="I11" s="91">
        <f t="shared" si="1"/>
        <v>0</v>
      </c>
      <c r="J11" s="91">
        <f t="shared" si="1"/>
        <v>366.66666666666663</v>
      </c>
      <c r="K11" s="81"/>
      <c r="L11" s="88">
        <f t="shared" ref="L11:P11" si="2">SUM(L7:L10)</f>
        <v>0</v>
      </c>
      <c r="M11" s="89">
        <f t="shared" si="2"/>
        <v>440</v>
      </c>
      <c r="N11" s="91">
        <f t="shared" si="2"/>
        <v>366.66666666666663</v>
      </c>
      <c r="O11" s="91">
        <f t="shared" si="2"/>
        <v>0</v>
      </c>
      <c r="P11" s="91">
        <f t="shared" si="2"/>
        <v>366.66666666666663</v>
      </c>
      <c r="Q11" s="81"/>
      <c r="R11" s="89">
        <f t="shared" ref="R11:U11" si="3">SUM(R7:R10)</f>
        <v>440</v>
      </c>
      <c r="S11" s="91">
        <f t="shared" si="3"/>
        <v>366.66666666666663</v>
      </c>
      <c r="T11" s="91">
        <f t="shared" si="3"/>
        <v>0</v>
      </c>
      <c r="U11" s="91">
        <f t="shared" si="3"/>
        <v>366.66666666666663</v>
      </c>
      <c r="V11" s="13"/>
      <c r="W11" s="5"/>
    </row>
    <row r="12" spans="1:24" x14ac:dyDescent="0.25">
      <c r="A12" s="35"/>
      <c r="B12" s="83"/>
      <c r="C12" s="84"/>
      <c r="D12" s="308"/>
      <c r="E12" s="308"/>
      <c r="F12" s="84"/>
      <c r="G12" s="85"/>
      <c r="H12" s="86"/>
      <c r="I12" s="86"/>
      <c r="J12" s="86"/>
      <c r="K12" s="81"/>
      <c r="L12" s="84"/>
      <c r="M12" s="85"/>
      <c r="N12" s="86"/>
      <c r="O12" s="86"/>
      <c r="P12" s="86"/>
      <c r="Q12" s="81"/>
      <c r="R12" s="85"/>
      <c r="S12" s="86"/>
      <c r="T12" s="86"/>
      <c r="U12" s="86"/>
      <c r="V12" s="13"/>
      <c r="W12" s="5"/>
    </row>
    <row r="13" spans="1:24" x14ac:dyDescent="0.25">
      <c r="A13" s="35" t="s">
        <v>99</v>
      </c>
      <c r="B13" s="78"/>
      <c r="C13" s="84">
        <f>D13-G13</f>
        <v>-435</v>
      </c>
      <c r="D13" s="363">
        <f>Reserves!F17</f>
        <v>2465</v>
      </c>
      <c r="E13" s="305"/>
      <c r="F13" s="84">
        <f>G13-M13</f>
        <v>0</v>
      </c>
      <c r="G13" s="116">
        <v>2900</v>
      </c>
      <c r="H13" s="86">
        <f>G13/12*10</f>
        <v>2416.6666666666665</v>
      </c>
      <c r="I13" s="343"/>
      <c r="J13" s="86">
        <f>H13-I13</f>
        <v>2416.6666666666665</v>
      </c>
      <c r="K13" s="117"/>
      <c r="L13" s="79">
        <f>M13-R13</f>
        <v>0</v>
      </c>
      <c r="M13" s="116">
        <v>2900</v>
      </c>
      <c r="N13" s="86">
        <f>M13/12*10</f>
        <v>2416.6666666666665</v>
      </c>
      <c r="O13" s="86">
        <v>0</v>
      </c>
      <c r="P13" s="86">
        <f>N13-O13</f>
        <v>2416.6666666666665</v>
      </c>
      <c r="Q13" s="81"/>
      <c r="R13" s="80">
        <v>2900</v>
      </c>
      <c r="S13" s="86">
        <f>R13/12*10</f>
        <v>2416.6666666666665</v>
      </c>
      <c r="T13" s="81">
        <v>2175</v>
      </c>
      <c r="U13" s="81">
        <f>S13-T13</f>
        <v>241.66666666666652</v>
      </c>
      <c r="W13" s="51"/>
    </row>
    <row r="14" spans="1:24" x14ac:dyDescent="0.25">
      <c r="A14" s="35"/>
      <c r="C14" s="115"/>
      <c r="F14" s="115"/>
      <c r="G14" s="116"/>
      <c r="H14" s="117"/>
      <c r="I14" s="117"/>
      <c r="J14" s="117"/>
      <c r="K14" s="117"/>
      <c r="L14" s="115"/>
      <c r="M14" s="116"/>
      <c r="N14" s="117"/>
      <c r="O14" s="117"/>
      <c r="P14" s="117"/>
      <c r="Q14" s="117"/>
      <c r="R14" s="116"/>
      <c r="S14" s="117"/>
      <c r="T14" s="117"/>
      <c r="U14" s="117"/>
    </row>
    <row r="15" spans="1:24" ht="15.75" thickBot="1" x14ac:dyDescent="0.3">
      <c r="A15" s="138" t="s">
        <v>1</v>
      </c>
      <c r="C15" s="88">
        <f>SUM(C11:C14)</f>
        <v>-435</v>
      </c>
      <c r="D15" s="89">
        <f>SUM(D11:D14)</f>
        <v>2905</v>
      </c>
      <c r="E15" s="103"/>
      <c r="F15" s="88">
        <f>SUM(F11:F14)</f>
        <v>0</v>
      </c>
      <c r="G15" s="89">
        <f>SUM(G11:G14)</f>
        <v>3340</v>
      </c>
      <c r="H15" s="91">
        <f t="shared" ref="H15:J15" si="4">SUM(H11:H14)</f>
        <v>2783.333333333333</v>
      </c>
      <c r="I15" s="91">
        <f t="shared" si="4"/>
        <v>0</v>
      </c>
      <c r="J15" s="91">
        <f t="shared" si="4"/>
        <v>2783.333333333333</v>
      </c>
      <c r="K15" s="90"/>
      <c r="L15" s="88">
        <f t="shared" ref="L15:P15" si="5">SUM(L11:L14)</f>
        <v>0</v>
      </c>
      <c r="M15" s="89">
        <f t="shared" si="5"/>
        <v>3340</v>
      </c>
      <c r="N15" s="91">
        <f t="shared" si="5"/>
        <v>2783.333333333333</v>
      </c>
      <c r="O15" s="91">
        <f t="shared" si="5"/>
        <v>0</v>
      </c>
      <c r="P15" s="91">
        <f t="shared" si="5"/>
        <v>2783.333333333333</v>
      </c>
      <c r="Q15" s="90"/>
      <c r="R15" s="89">
        <f t="shared" ref="R15:U15" si="6">SUM(R11:R14)</f>
        <v>3340</v>
      </c>
      <c r="S15" s="91">
        <f t="shared" si="6"/>
        <v>2783.333333333333</v>
      </c>
      <c r="T15" s="91">
        <f t="shared" si="6"/>
        <v>2175</v>
      </c>
      <c r="U15" s="91">
        <f t="shared" si="6"/>
        <v>608.33333333333314</v>
      </c>
      <c r="V15" s="15"/>
      <c r="W15" s="158">
        <f>SUM(B15:V15)</f>
        <v>29189.999999999993</v>
      </c>
      <c r="X15" s="159" t="s">
        <v>174</v>
      </c>
    </row>
    <row r="16" spans="1:24" x14ac:dyDescent="0.25">
      <c r="F16" s="32"/>
      <c r="G16" s="32"/>
    </row>
    <row r="17" spans="1:7" x14ac:dyDescent="0.25">
      <c r="A17" s="5" t="s">
        <v>166</v>
      </c>
      <c r="C17" s="100">
        <f>Summary!$C$25</f>
        <v>1.7000000000000001E-2</v>
      </c>
      <c r="F17" s="32"/>
      <c r="G17" s="32"/>
    </row>
    <row r="18" spans="1:7" x14ac:dyDescent="0.25">
      <c r="F18" s="32"/>
      <c r="G18" s="32"/>
    </row>
    <row r="19" spans="1:7" x14ac:dyDescent="0.25">
      <c r="F19" s="32"/>
      <c r="G19" s="32"/>
    </row>
    <row r="20" spans="1:7" ht="18.75" x14ac:dyDescent="0.25">
      <c r="A20" s="351" t="s">
        <v>267</v>
      </c>
      <c r="B20" s="352"/>
      <c r="C20" s="353" t="s">
        <v>236</v>
      </c>
      <c r="D20" s="354" t="s">
        <v>237</v>
      </c>
      <c r="F20" s="356" t="s">
        <v>268</v>
      </c>
      <c r="G20" s="32"/>
    </row>
    <row r="21" spans="1:7" x14ac:dyDescent="0.25">
      <c r="A21" s="236"/>
      <c r="B21" s="237"/>
      <c r="C21" s="239"/>
      <c r="D21" s="239"/>
      <c r="F21" s="32"/>
      <c r="G21" s="32"/>
    </row>
    <row r="22" spans="1:7" x14ac:dyDescent="0.25">
      <c r="A22" s="192"/>
      <c r="B22" s="237"/>
      <c r="C22" s="239"/>
      <c r="D22" s="239"/>
      <c r="F22" s="32"/>
      <c r="G22" s="32"/>
    </row>
    <row r="23" spans="1:7" x14ac:dyDescent="0.25">
      <c r="A23" s="192"/>
      <c r="B23" s="237"/>
      <c r="C23" s="238"/>
      <c r="D23" s="239"/>
      <c r="F23" s="32"/>
      <c r="G23" s="32"/>
    </row>
    <row r="24" spans="1:7" x14ac:dyDescent="0.25">
      <c r="A24" s="192"/>
      <c r="B24" s="237"/>
      <c r="C24" s="238"/>
      <c r="D24" s="239"/>
      <c r="F24" s="32"/>
      <c r="G24" s="32"/>
    </row>
    <row r="25" spans="1:7" x14ac:dyDescent="0.25">
      <c r="A25" s="194"/>
      <c r="B25" s="193"/>
      <c r="C25" s="191"/>
      <c r="D25" s="191"/>
      <c r="F25" s="32"/>
      <c r="G25" s="32"/>
    </row>
    <row r="26" spans="1:7" x14ac:dyDescent="0.25">
      <c r="A26" s="194"/>
      <c r="B26" s="193"/>
      <c r="C26" s="191"/>
      <c r="D26" s="191"/>
      <c r="F26" s="32"/>
      <c r="G26" s="32"/>
    </row>
    <row r="27" spans="1:7" x14ac:dyDescent="0.25">
      <c r="A27" s="194"/>
      <c r="B27" s="193"/>
      <c r="C27" s="191"/>
      <c r="D27" s="191"/>
      <c r="F27" s="32"/>
      <c r="G27" s="32"/>
    </row>
    <row r="28" spans="1:7" x14ac:dyDescent="0.25">
      <c r="A28" s="194"/>
      <c r="B28" s="193"/>
      <c r="C28" s="191"/>
      <c r="D28" s="191"/>
      <c r="F28" s="32"/>
      <c r="G28" s="32"/>
    </row>
    <row r="29" spans="1:7" x14ac:dyDescent="0.25">
      <c r="A29" s="194"/>
      <c r="B29" s="193"/>
      <c r="C29" s="191"/>
      <c r="D29" s="191"/>
      <c r="F29" s="32"/>
      <c r="G29" s="32"/>
    </row>
    <row r="30" spans="1:7" x14ac:dyDescent="0.25">
      <c r="A30" s="221"/>
      <c r="B30" s="237"/>
      <c r="C30" s="238"/>
      <c r="D30" s="238"/>
      <c r="F30" s="32"/>
      <c r="G30" s="32"/>
    </row>
    <row r="31" spans="1:7" x14ac:dyDescent="0.25">
      <c r="A31" s="240" t="s">
        <v>201</v>
      </c>
      <c r="B31" s="241"/>
      <c r="C31" s="242">
        <f>SUM(C21:C30)</f>
        <v>0</v>
      </c>
      <c r="D31" s="242">
        <f>SUM(D21:D30)</f>
        <v>0</v>
      </c>
      <c r="F31" s="32"/>
      <c r="G31" s="32"/>
    </row>
    <row r="32" spans="1:7" x14ac:dyDescent="0.25">
      <c r="A32" s="295"/>
      <c r="B32" s="226"/>
      <c r="C32" s="226"/>
      <c r="D32" s="303"/>
      <c r="F32" s="32"/>
      <c r="G32" s="32"/>
    </row>
    <row r="33" spans="1:6" ht="30" customHeight="1" x14ac:dyDescent="0.25">
      <c r="A33" s="414"/>
      <c r="B33" s="415"/>
      <c r="C33" s="415"/>
      <c r="D33" s="415"/>
      <c r="E33" s="425"/>
      <c r="F33" s="425"/>
    </row>
    <row r="34" spans="1:6" ht="30" customHeight="1" x14ac:dyDescent="0.25">
      <c r="A34" s="414"/>
      <c r="B34" s="415"/>
      <c r="C34" s="415"/>
      <c r="D34" s="415"/>
      <c r="E34" s="425"/>
      <c r="F34" s="425"/>
    </row>
    <row r="35" spans="1:6" ht="30" customHeight="1" x14ac:dyDescent="0.25">
      <c r="A35" s="414"/>
      <c r="B35" s="415"/>
      <c r="C35" s="415"/>
      <c r="D35" s="415"/>
      <c r="E35" s="425"/>
      <c r="F35" s="425"/>
    </row>
  </sheetData>
  <mergeCells count="17">
    <mergeCell ref="G4:H4"/>
    <mergeCell ref="H5:J5"/>
    <mergeCell ref="F3:J3"/>
    <mergeCell ref="N5:P5"/>
    <mergeCell ref="S5:U5"/>
    <mergeCell ref="R3:U3"/>
    <mergeCell ref="F4:F5"/>
    <mergeCell ref="L4:L5"/>
    <mergeCell ref="M4:N4"/>
    <mergeCell ref="R4:S4"/>
    <mergeCell ref="L3:P3"/>
    <mergeCell ref="A33:F33"/>
    <mergeCell ref="A34:F34"/>
    <mergeCell ref="A35:F35"/>
    <mergeCell ref="C3:D3"/>
    <mergeCell ref="C4:C5"/>
    <mergeCell ref="D4:D5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87" orientation="landscape" horizontalDpi="4294967293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Y57"/>
  <sheetViews>
    <sheetView showGridLines="0" zoomScale="80" zoomScaleNormal="80" workbookViewId="0">
      <pane ySplit="5" topLeftCell="A30" activePane="bottomLeft" state="frozen"/>
      <selection pane="bottomLeft" activeCell="A40" sqref="A40:I40"/>
    </sheetView>
  </sheetViews>
  <sheetFormatPr defaultColWidth="9.140625" defaultRowHeight="15" x14ac:dyDescent="0.25"/>
  <cols>
    <col min="1" max="1" width="40.7109375" style="32" customWidth="1"/>
    <col min="2" max="2" width="2.7109375" style="32" customWidth="1"/>
    <col min="3" max="3" width="11.7109375" style="32" customWidth="1"/>
    <col min="4" max="4" width="11.7109375" style="34" customWidth="1"/>
    <col min="5" max="5" width="2.7109375" style="34" customWidth="1"/>
    <col min="6" max="8" width="11.7109375" style="34" customWidth="1"/>
    <col min="9" max="10" width="11.7109375" style="32" customWidth="1"/>
    <col min="11" max="11" width="2.7109375" style="32" customWidth="1"/>
    <col min="12" max="16" width="11.7109375" style="32" customWidth="1"/>
    <col min="17" max="17" width="2.7109375" style="32" customWidth="1"/>
    <col min="18" max="21" width="11.7109375" style="32" customWidth="1"/>
    <col min="22" max="22" width="2.7109375" style="32" customWidth="1"/>
    <col min="23" max="23" width="10.42578125" style="32" customWidth="1"/>
    <col min="24" max="16384" width="9.140625" style="32"/>
  </cols>
  <sheetData>
    <row r="1" spans="1:24" ht="21" x14ac:dyDescent="0.25">
      <c r="A1" s="53" t="s">
        <v>126</v>
      </c>
      <c r="B1" s="54"/>
      <c r="C1" s="54"/>
      <c r="D1" s="301"/>
      <c r="E1" s="301"/>
      <c r="F1" s="301"/>
      <c r="G1" s="301"/>
      <c r="H1" s="301"/>
      <c r="I1" s="55"/>
      <c r="J1" s="55"/>
      <c r="K1" s="55"/>
      <c r="L1" s="55"/>
      <c r="M1" s="56" t="s">
        <v>242</v>
      </c>
      <c r="N1" s="5"/>
      <c r="O1" s="195">
        <v>8</v>
      </c>
      <c r="P1" s="5"/>
      <c r="Q1" s="5"/>
      <c r="R1" s="5"/>
      <c r="S1" s="5"/>
      <c r="T1" s="5"/>
      <c r="U1" s="5"/>
      <c r="V1" s="5"/>
      <c r="W1" s="5"/>
    </row>
    <row r="2" spans="1:24" x14ac:dyDescent="0.25">
      <c r="B2" s="55"/>
      <c r="C2" s="55"/>
      <c r="D2" s="302"/>
      <c r="E2" s="302"/>
      <c r="F2" s="302"/>
      <c r="G2" s="302"/>
      <c r="H2" s="302"/>
      <c r="I2" s="55"/>
      <c r="J2" s="55"/>
      <c r="K2" s="55"/>
      <c r="L2" s="55"/>
      <c r="M2" s="54"/>
      <c r="N2" s="295"/>
      <c r="O2" s="295"/>
      <c r="P2" s="295"/>
      <c r="Q2" s="295"/>
      <c r="R2" s="295"/>
      <c r="S2" s="295"/>
      <c r="T2" s="295"/>
      <c r="U2" s="295"/>
      <c r="V2" s="295"/>
      <c r="W2" s="295"/>
    </row>
    <row r="3" spans="1:24" s="132" customFormat="1" ht="21" x14ac:dyDescent="0.25">
      <c r="A3" s="56" t="s">
        <v>253</v>
      </c>
      <c r="B3" s="334"/>
      <c r="C3" s="403">
        <v>2020</v>
      </c>
      <c r="D3" s="404"/>
      <c r="E3" s="335"/>
      <c r="F3" s="403">
        <v>2019</v>
      </c>
      <c r="G3" s="405"/>
      <c r="H3" s="423"/>
      <c r="I3" s="423"/>
      <c r="J3" s="424"/>
      <c r="K3" s="335"/>
      <c r="L3" s="403">
        <v>2018</v>
      </c>
      <c r="M3" s="423"/>
      <c r="N3" s="423"/>
      <c r="O3" s="423"/>
      <c r="P3" s="424"/>
      <c r="Q3" s="334"/>
      <c r="R3" s="403">
        <v>2017</v>
      </c>
      <c r="S3" s="405"/>
      <c r="T3" s="405"/>
      <c r="U3" s="404"/>
      <c r="V3" s="335"/>
      <c r="W3" s="337" t="s">
        <v>98</v>
      </c>
    </row>
    <row r="4" spans="1:24" x14ac:dyDescent="0.25">
      <c r="A4" s="23"/>
      <c r="B4" s="23"/>
      <c r="C4" s="420" t="s">
        <v>261</v>
      </c>
      <c r="D4" s="401" t="s">
        <v>44</v>
      </c>
      <c r="E4" s="290"/>
      <c r="F4" s="420" t="s">
        <v>165</v>
      </c>
      <c r="G4" s="419" t="s">
        <v>163</v>
      </c>
      <c r="H4" s="419"/>
      <c r="I4" s="292" t="s">
        <v>118</v>
      </c>
      <c r="J4" s="292" t="s">
        <v>97</v>
      </c>
      <c r="K4" s="292"/>
      <c r="L4" s="420" t="s">
        <v>164</v>
      </c>
      <c r="M4" s="409" t="s">
        <v>163</v>
      </c>
      <c r="N4" s="409"/>
      <c r="O4" s="24" t="s">
        <v>118</v>
      </c>
      <c r="P4" s="24" t="s">
        <v>97</v>
      </c>
      <c r="Q4" s="23"/>
      <c r="R4" s="409" t="s">
        <v>163</v>
      </c>
      <c r="S4" s="422"/>
      <c r="T4" s="24" t="s">
        <v>118</v>
      </c>
      <c r="U4" s="24" t="s">
        <v>97</v>
      </c>
      <c r="V4" s="24"/>
      <c r="W4" s="25"/>
    </row>
    <row r="5" spans="1:24" x14ac:dyDescent="0.25">
      <c r="A5" s="23"/>
      <c r="B5" s="23"/>
      <c r="C5" s="431"/>
      <c r="D5" s="402"/>
      <c r="E5" s="291"/>
      <c r="F5" s="431"/>
      <c r="G5" s="26" t="s">
        <v>161</v>
      </c>
      <c r="H5" s="409" t="s">
        <v>162</v>
      </c>
      <c r="I5" s="408"/>
      <c r="J5" s="408"/>
      <c r="K5" s="293"/>
      <c r="L5" s="421"/>
      <c r="M5" s="26" t="s">
        <v>161</v>
      </c>
      <c r="N5" s="409" t="s">
        <v>162</v>
      </c>
      <c r="O5" s="408"/>
      <c r="P5" s="408"/>
      <c r="Q5" s="23"/>
      <c r="R5" s="26" t="s">
        <v>161</v>
      </c>
      <c r="S5" s="409" t="s">
        <v>162</v>
      </c>
      <c r="T5" s="408"/>
      <c r="U5" s="408"/>
      <c r="V5" s="24"/>
      <c r="W5" s="25"/>
    </row>
    <row r="6" spans="1:24" x14ac:dyDescent="0.25">
      <c r="A6" s="23"/>
      <c r="B6" s="23"/>
      <c r="C6" s="348"/>
      <c r="D6" s="291"/>
      <c r="E6" s="291"/>
      <c r="F6" s="348"/>
      <c r="G6" s="26"/>
      <c r="H6" s="294"/>
      <c r="I6" s="293"/>
      <c r="J6" s="293"/>
      <c r="K6" s="293"/>
      <c r="L6" s="349"/>
      <c r="M6" s="26"/>
      <c r="N6" s="294"/>
      <c r="O6" s="293"/>
      <c r="P6" s="293"/>
      <c r="Q6" s="23"/>
      <c r="R6" s="26"/>
      <c r="S6" s="294"/>
      <c r="T6" s="293"/>
      <c r="U6" s="293"/>
      <c r="V6" s="292"/>
      <c r="W6" s="25"/>
    </row>
    <row r="7" spans="1:24" x14ac:dyDescent="0.25">
      <c r="A7" s="78" t="s">
        <v>20</v>
      </c>
      <c r="B7" s="78"/>
      <c r="C7" s="78"/>
      <c r="D7" s="307"/>
      <c r="E7" s="307"/>
      <c r="F7" s="79"/>
      <c r="G7" s="80"/>
      <c r="H7" s="307"/>
      <c r="J7" s="81"/>
      <c r="K7" s="81"/>
      <c r="L7" s="79"/>
      <c r="M7" s="80"/>
      <c r="N7" s="81"/>
      <c r="O7" s="81"/>
      <c r="P7" s="81"/>
      <c r="Q7" s="81"/>
      <c r="R7" s="80"/>
      <c r="S7" s="81"/>
      <c r="T7" s="81"/>
      <c r="U7" s="81"/>
      <c r="V7" s="5"/>
      <c r="W7" s="5"/>
    </row>
    <row r="8" spans="1:24" x14ac:dyDescent="0.25">
      <c r="A8" s="83" t="s">
        <v>21</v>
      </c>
      <c r="B8" s="83"/>
      <c r="C8" s="84">
        <f>D8-G8</f>
        <v>133</v>
      </c>
      <c r="D8" s="329">
        <v>768</v>
      </c>
      <c r="E8" s="308"/>
      <c r="F8" s="84">
        <f>G8-M8</f>
        <v>-10</v>
      </c>
      <c r="G8" s="85">
        <v>635</v>
      </c>
      <c r="H8" s="86">
        <f>G8/12*10</f>
        <v>529.16666666666663</v>
      </c>
      <c r="I8" s="343">
        <v>621</v>
      </c>
      <c r="J8" s="86">
        <f>H8-I8</f>
        <v>-91.833333333333371</v>
      </c>
      <c r="K8" s="81"/>
      <c r="L8" s="79">
        <f>M8-R8</f>
        <v>100</v>
      </c>
      <c r="M8" s="85">
        <v>645</v>
      </c>
      <c r="N8" s="86">
        <f>M8/12*10</f>
        <v>537.5</v>
      </c>
      <c r="O8" s="86">
        <v>400</v>
      </c>
      <c r="P8" s="86">
        <f>N8-O8</f>
        <v>137.5</v>
      </c>
      <c r="Q8" s="81"/>
      <c r="R8" s="80">
        <v>545</v>
      </c>
      <c r="S8" s="86">
        <f>R8/12*10</f>
        <v>454.16666666666663</v>
      </c>
      <c r="T8" s="81">
        <v>447.63</v>
      </c>
      <c r="U8" s="81">
        <f>S8-T8</f>
        <v>6.5366666666666333</v>
      </c>
      <c r="V8" s="13"/>
      <c r="W8" s="75"/>
    </row>
    <row r="9" spans="1:24" x14ac:dyDescent="0.25">
      <c r="A9" s="83" t="s">
        <v>14</v>
      </c>
      <c r="B9" s="83" t="s">
        <v>167</v>
      </c>
      <c r="C9" s="84">
        <f>D9-G9</f>
        <v>-1.5300000000000011</v>
      </c>
      <c r="D9" s="329">
        <v>90</v>
      </c>
      <c r="E9" s="308"/>
      <c r="F9" s="84">
        <f>G9-M9</f>
        <v>1.5300000000000011</v>
      </c>
      <c r="G9" s="85">
        <f>M9+(M9*$C$33)</f>
        <v>91.53</v>
      </c>
      <c r="H9" s="86">
        <f>G9/12*10</f>
        <v>76.275000000000006</v>
      </c>
      <c r="I9" s="343">
        <v>75</v>
      </c>
      <c r="J9" s="86">
        <f>H9-I9</f>
        <v>1.2750000000000057</v>
      </c>
      <c r="K9" s="81"/>
      <c r="L9" s="79">
        <f t="shared" ref="L9:L11" si="0">M9-R9</f>
        <v>0</v>
      </c>
      <c r="M9" s="85">
        <v>90</v>
      </c>
      <c r="N9" s="86">
        <f>M9/12*10</f>
        <v>75</v>
      </c>
      <c r="O9" s="86">
        <v>60</v>
      </c>
      <c r="P9" s="86">
        <f>N9-O9</f>
        <v>15</v>
      </c>
      <c r="Q9" s="81"/>
      <c r="R9" s="80">
        <v>90</v>
      </c>
      <c r="S9" s="86">
        <f>R9/12*10</f>
        <v>75</v>
      </c>
      <c r="T9" s="81">
        <v>75</v>
      </c>
      <c r="U9" s="81">
        <f>S9-T9</f>
        <v>0</v>
      </c>
      <c r="V9" s="13"/>
      <c r="W9" s="75"/>
      <c r="X9" s="19"/>
    </row>
    <row r="10" spans="1:24" x14ac:dyDescent="0.25">
      <c r="A10" s="83" t="s">
        <v>15</v>
      </c>
      <c r="B10" s="83" t="s">
        <v>167</v>
      </c>
      <c r="C10" s="84">
        <f>D10-G10</f>
        <v>-321</v>
      </c>
      <c r="D10" s="329">
        <v>179</v>
      </c>
      <c r="E10" s="308"/>
      <c r="F10" s="84">
        <f>G10-M10</f>
        <v>-100</v>
      </c>
      <c r="G10" s="85">
        <v>500</v>
      </c>
      <c r="H10" s="86">
        <f>G10/12*10</f>
        <v>416.66666666666663</v>
      </c>
      <c r="I10" s="343">
        <v>139</v>
      </c>
      <c r="J10" s="86">
        <f>H10-I10</f>
        <v>277.66666666666663</v>
      </c>
      <c r="K10" s="81"/>
      <c r="L10" s="79">
        <f t="shared" si="0"/>
        <v>0</v>
      </c>
      <c r="M10" s="85">
        <v>600</v>
      </c>
      <c r="N10" s="86">
        <f>M10/12*10</f>
        <v>500</v>
      </c>
      <c r="O10" s="86">
        <v>362.12</v>
      </c>
      <c r="P10" s="86">
        <f>N10-O10</f>
        <v>137.88</v>
      </c>
      <c r="Q10" s="81"/>
      <c r="R10" s="80">
        <v>600</v>
      </c>
      <c r="S10" s="86">
        <f>R10/12*10</f>
        <v>500</v>
      </c>
      <c r="T10" s="81">
        <v>146.16999999999999</v>
      </c>
      <c r="U10" s="81">
        <f>S10-T10</f>
        <v>353.83000000000004</v>
      </c>
      <c r="V10" s="13"/>
      <c r="W10" s="148"/>
    </row>
    <row r="11" spans="1:24" x14ac:dyDescent="0.25">
      <c r="A11" s="83" t="s">
        <v>155</v>
      </c>
      <c r="B11" s="83"/>
      <c r="C11" s="84">
        <f>D11-G11</f>
        <v>0</v>
      </c>
      <c r="D11" s="329">
        <v>168</v>
      </c>
      <c r="E11" s="308"/>
      <c r="F11" s="84">
        <f>G11-M11</f>
        <v>168</v>
      </c>
      <c r="G11" s="85">
        <f>140*1.2</f>
        <v>168</v>
      </c>
      <c r="H11" s="86">
        <f>G11/12*10</f>
        <v>140</v>
      </c>
      <c r="I11" s="343">
        <v>168</v>
      </c>
      <c r="J11" s="86">
        <f>H11-I11</f>
        <v>-28</v>
      </c>
      <c r="K11" s="81"/>
      <c r="L11" s="79">
        <f t="shared" si="0"/>
        <v>0</v>
      </c>
      <c r="M11" s="85">
        <v>0</v>
      </c>
      <c r="N11" s="86">
        <f>M11/12*10</f>
        <v>0</v>
      </c>
      <c r="O11" s="86">
        <v>0</v>
      </c>
      <c r="P11" s="86">
        <f>N11-O11</f>
        <v>0</v>
      </c>
      <c r="Q11" s="81"/>
      <c r="R11" s="80">
        <v>0</v>
      </c>
      <c r="S11" s="86">
        <f>R11/12*10</f>
        <v>0</v>
      </c>
      <c r="T11" s="81">
        <v>0</v>
      </c>
      <c r="U11" s="81">
        <f>S11-T11</f>
        <v>0</v>
      </c>
      <c r="V11" s="13"/>
      <c r="W11" s="37"/>
    </row>
    <row r="12" spans="1:24" x14ac:dyDescent="0.25">
      <c r="A12" s="83"/>
      <c r="B12" s="83"/>
      <c r="C12" s="84"/>
      <c r="D12" s="308"/>
      <c r="E12" s="308"/>
      <c r="F12" s="84"/>
      <c r="G12" s="85"/>
      <c r="H12" s="86"/>
      <c r="I12" s="86"/>
      <c r="J12" s="86"/>
      <c r="K12" s="81"/>
      <c r="L12" s="79"/>
      <c r="M12" s="85"/>
      <c r="N12" s="86"/>
      <c r="O12" s="86"/>
      <c r="P12" s="86"/>
      <c r="Q12" s="81"/>
      <c r="R12" s="80"/>
      <c r="S12" s="81"/>
      <c r="T12" s="81"/>
      <c r="U12" s="81"/>
      <c r="V12" s="13"/>
      <c r="W12" s="37"/>
    </row>
    <row r="13" spans="1:24" ht="15.75" thickBot="1" x14ac:dyDescent="0.3">
      <c r="A13" s="78"/>
      <c r="B13" s="78"/>
      <c r="C13" s="88">
        <f>SUM(C7:C12)</f>
        <v>-189.53</v>
      </c>
      <c r="D13" s="89">
        <f>SUM(D7:D12)</f>
        <v>1205</v>
      </c>
      <c r="E13" s="103"/>
      <c r="F13" s="88">
        <f>SUM(F7:F12)</f>
        <v>59.53</v>
      </c>
      <c r="G13" s="89">
        <f>SUM(G7:G12)</f>
        <v>1394.53</v>
      </c>
      <c r="H13" s="91">
        <f t="shared" ref="H13:J13" si="1">SUM(H7:H12)</f>
        <v>1162.1083333333331</v>
      </c>
      <c r="I13" s="91">
        <f t="shared" si="1"/>
        <v>1003</v>
      </c>
      <c r="J13" s="91">
        <f t="shared" si="1"/>
        <v>159.10833333333326</v>
      </c>
      <c r="K13" s="90"/>
      <c r="L13" s="88">
        <f t="shared" ref="L13:P13" si="2">SUM(L7:L12)</f>
        <v>100</v>
      </c>
      <c r="M13" s="89">
        <f t="shared" si="2"/>
        <v>1335</v>
      </c>
      <c r="N13" s="91">
        <f t="shared" si="2"/>
        <v>1112.5</v>
      </c>
      <c r="O13" s="91">
        <f t="shared" si="2"/>
        <v>822.12</v>
      </c>
      <c r="P13" s="91">
        <f t="shared" si="2"/>
        <v>290.38</v>
      </c>
      <c r="Q13" s="90"/>
      <c r="R13" s="101">
        <f t="shared" ref="R13:U13" si="3">SUM(R7:R12)</f>
        <v>1235</v>
      </c>
      <c r="S13" s="91">
        <f t="shared" si="3"/>
        <v>1029.1666666666665</v>
      </c>
      <c r="T13" s="91">
        <f t="shared" si="3"/>
        <v>668.8</v>
      </c>
      <c r="U13" s="91">
        <f t="shared" si="3"/>
        <v>360.36666666666667</v>
      </c>
      <c r="V13" s="15"/>
      <c r="W13" s="37"/>
    </row>
    <row r="14" spans="1:24" x14ac:dyDescent="0.25">
      <c r="A14" s="78"/>
      <c r="B14" s="78"/>
      <c r="C14" s="102"/>
      <c r="D14" s="307"/>
      <c r="E14" s="307"/>
      <c r="F14" s="102"/>
      <c r="G14" s="103"/>
      <c r="H14" s="105"/>
      <c r="I14" s="105"/>
      <c r="J14" s="105"/>
      <c r="K14" s="90"/>
      <c r="L14" s="102"/>
      <c r="M14" s="103"/>
      <c r="N14" s="105"/>
      <c r="O14" s="105"/>
      <c r="P14" s="105"/>
      <c r="Q14" s="90"/>
      <c r="R14" s="131"/>
      <c r="S14" s="105"/>
      <c r="T14" s="105"/>
      <c r="U14" s="105"/>
      <c r="V14" s="15"/>
      <c r="W14" s="37"/>
    </row>
    <row r="15" spans="1:24" x14ac:dyDescent="0.25">
      <c r="A15" s="44" t="s">
        <v>23</v>
      </c>
      <c r="C15" s="33"/>
      <c r="F15" s="33"/>
      <c r="H15" s="32"/>
      <c r="L15" s="33"/>
      <c r="M15" s="34"/>
      <c r="R15" s="34"/>
      <c r="W15" s="37"/>
    </row>
    <row r="16" spans="1:24" x14ac:dyDescent="0.25">
      <c r="A16" s="50" t="s">
        <v>22</v>
      </c>
      <c r="B16" s="83" t="s">
        <v>167</v>
      </c>
      <c r="C16" s="84">
        <f t="shared" ref="C16:C21" si="4">D16-G16</f>
        <v>93.199999999999989</v>
      </c>
      <c r="D16" s="329">
        <v>500</v>
      </c>
      <c r="E16" s="308"/>
      <c r="F16" s="84">
        <f t="shared" ref="F16:F21" si="5">G16-M16</f>
        <v>6.8000000000000114</v>
      </c>
      <c r="G16" s="85">
        <f>M16+(M16*$C$33)</f>
        <v>406.8</v>
      </c>
      <c r="H16" s="86">
        <f t="shared" ref="H16:H21" si="6">G16/12*10</f>
        <v>339</v>
      </c>
      <c r="I16" s="343">
        <v>418</v>
      </c>
      <c r="J16" s="86">
        <f t="shared" ref="J16:J21" si="7">H16-I16</f>
        <v>-79</v>
      </c>
      <c r="L16" s="79">
        <f t="shared" ref="L16:L21" si="8">M16-R16</f>
        <v>-100</v>
      </c>
      <c r="M16" s="36">
        <v>400</v>
      </c>
      <c r="N16" s="86">
        <f t="shared" ref="N16:N21" si="9">M16/12*10</f>
        <v>333.33333333333337</v>
      </c>
      <c r="O16" s="86">
        <v>51.09</v>
      </c>
      <c r="P16" s="86">
        <f t="shared" ref="P16:P21" si="10">N16-O16</f>
        <v>282.24333333333334</v>
      </c>
      <c r="R16" s="36">
        <v>500</v>
      </c>
      <c r="S16" s="86">
        <f t="shared" ref="S16:S21" si="11">R16/12*10</f>
        <v>416.66666666666663</v>
      </c>
      <c r="T16" s="37">
        <v>35</v>
      </c>
      <c r="U16" s="81">
        <f t="shared" ref="U16:U21" si="12">S16-T16</f>
        <v>381.66666666666663</v>
      </c>
      <c r="W16" s="37"/>
    </row>
    <row r="17" spans="1:25" x14ac:dyDescent="0.25">
      <c r="A17" s="50" t="s">
        <v>16</v>
      </c>
      <c r="B17" s="83" t="s">
        <v>167</v>
      </c>
      <c r="C17" s="84">
        <f t="shared" si="4"/>
        <v>-0.85000000000000142</v>
      </c>
      <c r="D17" s="329">
        <v>50</v>
      </c>
      <c r="E17" s="308"/>
      <c r="F17" s="84">
        <f t="shared" si="5"/>
        <v>0.85000000000000142</v>
      </c>
      <c r="G17" s="85">
        <f>M17+(M17*$C$33)</f>
        <v>50.85</v>
      </c>
      <c r="H17" s="86">
        <f t="shared" si="6"/>
        <v>42.375</v>
      </c>
      <c r="I17" s="343">
        <v>0</v>
      </c>
      <c r="J17" s="86">
        <f t="shared" si="7"/>
        <v>42.375</v>
      </c>
      <c r="L17" s="79">
        <f t="shared" si="8"/>
        <v>0</v>
      </c>
      <c r="M17" s="36">
        <v>50</v>
      </c>
      <c r="N17" s="86">
        <f t="shared" si="9"/>
        <v>41.666666666666671</v>
      </c>
      <c r="O17" s="86">
        <v>0</v>
      </c>
      <c r="P17" s="86">
        <f t="shared" si="10"/>
        <v>41.666666666666671</v>
      </c>
      <c r="R17" s="36">
        <v>50</v>
      </c>
      <c r="S17" s="86">
        <f t="shared" si="11"/>
        <v>41.666666666666671</v>
      </c>
      <c r="T17" s="37">
        <v>0</v>
      </c>
      <c r="U17" s="81">
        <f t="shared" si="12"/>
        <v>41.666666666666671</v>
      </c>
      <c r="W17" s="37"/>
    </row>
    <row r="18" spans="1:25" x14ac:dyDescent="0.25">
      <c r="A18" s="50" t="s">
        <v>12</v>
      </c>
      <c r="B18" s="83" t="s">
        <v>167</v>
      </c>
      <c r="C18" s="84">
        <f t="shared" si="4"/>
        <v>-1.7000000000000028</v>
      </c>
      <c r="D18" s="329">
        <v>100</v>
      </c>
      <c r="E18" s="308"/>
      <c r="F18" s="84">
        <f t="shared" si="5"/>
        <v>1.7000000000000028</v>
      </c>
      <c r="G18" s="85">
        <f>M18+(M18*$C$33)</f>
        <v>101.7</v>
      </c>
      <c r="H18" s="86">
        <f t="shared" si="6"/>
        <v>84.75</v>
      </c>
      <c r="I18" s="343">
        <v>89</v>
      </c>
      <c r="J18" s="86">
        <f t="shared" si="7"/>
        <v>-4.25</v>
      </c>
      <c r="L18" s="79">
        <f t="shared" si="8"/>
        <v>47</v>
      </c>
      <c r="M18" s="36">
        <v>100</v>
      </c>
      <c r="N18" s="86">
        <f t="shared" si="9"/>
        <v>83.333333333333343</v>
      </c>
      <c r="O18" s="86">
        <v>90</v>
      </c>
      <c r="P18" s="86">
        <f t="shared" si="10"/>
        <v>-6.6666666666666572</v>
      </c>
      <c r="R18" s="36">
        <v>53</v>
      </c>
      <c r="S18" s="86">
        <f t="shared" si="11"/>
        <v>44.166666666666671</v>
      </c>
      <c r="T18" s="37">
        <v>90</v>
      </c>
      <c r="U18" s="81">
        <f t="shared" si="12"/>
        <v>-45.833333333333329</v>
      </c>
      <c r="W18" s="37"/>
    </row>
    <row r="19" spans="1:25" x14ac:dyDescent="0.25">
      <c r="A19" s="50" t="s">
        <v>41</v>
      </c>
      <c r="B19" s="83" t="s">
        <v>167</v>
      </c>
      <c r="C19" s="84">
        <f t="shared" si="4"/>
        <v>-0.85000000000000142</v>
      </c>
      <c r="D19" s="329">
        <v>50</v>
      </c>
      <c r="E19" s="308"/>
      <c r="F19" s="84">
        <f t="shared" si="5"/>
        <v>0.85000000000000142</v>
      </c>
      <c r="G19" s="85">
        <f>M19+(M19*$C$33)</f>
        <v>50.85</v>
      </c>
      <c r="H19" s="86">
        <f t="shared" si="6"/>
        <v>42.375</v>
      </c>
      <c r="I19" s="343">
        <v>50</v>
      </c>
      <c r="J19" s="86">
        <f t="shared" si="7"/>
        <v>-7.625</v>
      </c>
      <c r="L19" s="79">
        <f t="shared" si="8"/>
        <v>0</v>
      </c>
      <c r="M19" s="36">
        <v>50</v>
      </c>
      <c r="N19" s="86">
        <f t="shared" si="9"/>
        <v>41.666666666666671</v>
      </c>
      <c r="O19" s="86">
        <v>30</v>
      </c>
      <c r="P19" s="86">
        <f t="shared" si="10"/>
        <v>11.666666666666671</v>
      </c>
      <c r="R19" s="36">
        <v>50</v>
      </c>
      <c r="S19" s="86">
        <f t="shared" si="11"/>
        <v>41.666666666666671</v>
      </c>
      <c r="T19" s="37">
        <v>250</v>
      </c>
      <c r="U19" s="81">
        <f t="shared" si="12"/>
        <v>-208.33333333333331</v>
      </c>
    </row>
    <row r="20" spans="1:25" x14ac:dyDescent="0.25">
      <c r="A20" s="50" t="s">
        <v>125</v>
      </c>
      <c r="C20" s="84">
        <f t="shared" si="4"/>
        <v>0</v>
      </c>
      <c r="D20" s="328"/>
      <c r="F20" s="84">
        <f t="shared" si="5"/>
        <v>-500</v>
      </c>
      <c r="G20" s="36">
        <v>0</v>
      </c>
      <c r="H20" s="86">
        <f t="shared" si="6"/>
        <v>0</v>
      </c>
      <c r="I20" s="343"/>
      <c r="J20" s="86">
        <f t="shared" si="7"/>
        <v>0</v>
      </c>
      <c r="L20" s="79">
        <f t="shared" si="8"/>
        <v>500</v>
      </c>
      <c r="M20" s="36">
        <v>500</v>
      </c>
      <c r="N20" s="86">
        <f t="shared" si="9"/>
        <v>416.66666666666663</v>
      </c>
      <c r="O20" s="86">
        <v>416.7</v>
      </c>
      <c r="P20" s="86">
        <f t="shared" si="10"/>
        <v>-3.333333333335986E-2</v>
      </c>
      <c r="R20" s="36">
        <v>0</v>
      </c>
      <c r="S20" s="86">
        <f t="shared" si="11"/>
        <v>0</v>
      </c>
      <c r="T20" s="37">
        <v>530.4</v>
      </c>
      <c r="U20" s="81">
        <f t="shared" si="12"/>
        <v>-530.4</v>
      </c>
      <c r="W20" s="37"/>
      <c r="Y20" s="48"/>
    </row>
    <row r="21" spans="1:25" x14ac:dyDescent="0.25">
      <c r="A21" s="50" t="s">
        <v>152</v>
      </c>
      <c r="C21" s="84">
        <f t="shared" si="4"/>
        <v>-128.76190476190476</v>
      </c>
      <c r="D21" s="328">
        <v>0</v>
      </c>
      <c r="F21" s="84">
        <f t="shared" si="5"/>
        <v>128.76190476190476</v>
      </c>
      <c r="G21" s="36">
        <f>Reserves!X18</f>
        <v>128.76190476190476</v>
      </c>
      <c r="H21" s="86">
        <f t="shared" si="6"/>
        <v>107.30158730158729</v>
      </c>
      <c r="I21" s="343">
        <v>164</v>
      </c>
      <c r="J21" s="86">
        <f t="shared" si="7"/>
        <v>-56.69841269841271</v>
      </c>
      <c r="L21" s="79">
        <f t="shared" si="8"/>
        <v>0</v>
      </c>
      <c r="M21" s="36">
        <v>0</v>
      </c>
      <c r="N21" s="86">
        <f t="shared" si="9"/>
        <v>0</v>
      </c>
      <c r="O21" s="86"/>
      <c r="P21" s="86">
        <f t="shared" si="10"/>
        <v>0</v>
      </c>
      <c r="R21" s="36">
        <v>0</v>
      </c>
      <c r="S21" s="86">
        <f t="shared" si="11"/>
        <v>0</v>
      </c>
      <c r="T21" s="37">
        <v>0</v>
      </c>
      <c r="U21" s="81">
        <f t="shared" si="12"/>
        <v>0</v>
      </c>
      <c r="W21" s="37"/>
      <c r="X21" s="148"/>
    </row>
    <row r="22" spans="1:25" x14ac:dyDescent="0.25">
      <c r="A22" s="50"/>
      <c r="C22" s="33"/>
      <c r="F22" s="33"/>
      <c r="G22" s="36"/>
      <c r="H22" s="32"/>
      <c r="L22" s="33"/>
      <c r="M22" s="36"/>
      <c r="R22" s="36"/>
      <c r="T22" s="37"/>
      <c r="W22" s="37"/>
    </row>
    <row r="23" spans="1:25" ht="15.75" thickBot="1" x14ac:dyDescent="0.3">
      <c r="A23" s="138" t="s">
        <v>171</v>
      </c>
      <c r="C23" s="38">
        <f>SUM(C15:C22)</f>
        <v>-38.961904761904776</v>
      </c>
      <c r="D23" s="39">
        <f>SUM(D15:D22)</f>
        <v>700</v>
      </c>
      <c r="E23" s="41"/>
      <c r="F23" s="38">
        <f>SUM(F15:F22)</f>
        <v>-361.0380952380952</v>
      </c>
      <c r="G23" s="39">
        <f>SUM(G15:G22)</f>
        <v>738.96190476190486</v>
      </c>
      <c r="H23" s="40">
        <f>SUM(H15:H22)</f>
        <v>615.80158730158723</v>
      </c>
      <c r="I23" s="40">
        <f>SUM(I15:I22)</f>
        <v>721</v>
      </c>
      <c r="J23" s="40">
        <f>SUM(J15:J22)</f>
        <v>-105.19841269841271</v>
      </c>
      <c r="L23" s="38">
        <f>SUM(L15:L22)</f>
        <v>447</v>
      </c>
      <c r="M23" s="39">
        <f>SUM(M15:M22)</f>
        <v>1100</v>
      </c>
      <c r="N23" s="40">
        <f>SUM(N15:N22)</f>
        <v>916.66666666666674</v>
      </c>
      <c r="O23" s="40">
        <f>SUM(O15:O22)</f>
        <v>587.79</v>
      </c>
      <c r="P23" s="40">
        <f>SUM(P15:P22)</f>
        <v>328.87666666666667</v>
      </c>
      <c r="R23" s="39">
        <f>SUM(R15:R22)</f>
        <v>653</v>
      </c>
      <c r="S23" s="40">
        <f>SUM(S15:S22)</f>
        <v>544.16666666666663</v>
      </c>
      <c r="T23" s="40">
        <f>SUM(T15:T22)</f>
        <v>905.4</v>
      </c>
      <c r="U23" s="40">
        <f>SUM(U15:U22)</f>
        <v>-361.23333333333329</v>
      </c>
      <c r="W23" s="37"/>
    </row>
    <row r="24" spans="1:25" x14ac:dyDescent="0.25">
      <c r="A24" s="35"/>
      <c r="C24" s="33"/>
      <c r="F24" s="33"/>
      <c r="G24" s="41"/>
      <c r="H24" s="32"/>
      <c r="L24" s="33"/>
      <c r="M24" s="41"/>
      <c r="R24" s="41"/>
      <c r="T24" s="42"/>
      <c r="W24" s="37"/>
    </row>
    <row r="25" spans="1:25" x14ac:dyDescent="0.25">
      <c r="A25" s="50" t="s">
        <v>90</v>
      </c>
      <c r="C25" s="84">
        <f>D25-G25</f>
        <v>0</v>
      </c>
      <c r="D25" s="331">
        <f>G25</f>
        <v>440</v>
      </c>
      <c r="E25" s="305"/>
      <c r="F25" s="84">
        <f>G25-M25</f>
        <v>0</v>
      </c>
      <c r="G25" s="41">
        <v>440</v>
      </c>
      <c r="H25" s="86">
        <f t="shared" ref="H25" si="13">G25/12*10</f>
        <v>366.66666666666663</v>
      </c>
      <c r="I25" s="343"/>
      <c r="J25" s="86">
        <f t="shared" ref="J25" si="14">H25-I25</f>
        <v>366.66666666666663</v>
      </c>
      <c r="L25" s="79">
        <f t="shared" ref="L25" si="15">M25-R25</f>
        <v>0</v>
      </c>
      <c r="M25" s="41">
        <v>440</v>
      </c>
      <c r="N25" s="86">
        <f t="shared" ref="N25" si="16">M25/12*10</f>
        <v>366.66666666666663</v>
      </c>
      <c r="O25" s="86">
        <v>0</v>
      </c>
      <c r="P25" s="86">
        <f t="shared" ref="P25" si="17">N25-O25</f>
        <v>366.66666666666663</v>
      </c>
      <c r="R25" s="41">
        <v>440</v>
      </c>
      <c r="S25" s="86">
        <f>R25/12*10</f>
        <v>366.66666666666663</v>
      </c>
      <c r="T25" s="32">
        <v>0</v>
      </c>
      <c r="U25" s="81">
        <f>S25-T25</f>
        <v>366.66666666666663</v>
      </c>
      <c r="W25" s="37"/>
    </row>
    <row r="26" spans="1:25" x14ac:dyDescent="0.25">
      <c r="A26" s="35"/>
      <c r="C26" s="33"/>
      <c r="F26" s="33"/>
      <c r="H26" s="32"/>
      <c r="L26" s="33"/>
      <c r="M26" s="34"/>
      <c r="R26" s="34"/>
      <c r="W26" s="37"/>
    </row>
    <row r="27" spans="1:25" ht="15.75" thickBot="1" x14ac:dyDescent="0.3">
      <c r="A27" s="138" t="s">
        <v>169</v>
      </c>
      <c r="C27" s="38">
        <f>C13+C23+C25</f>
        <v>-228.49190476190478</v>
      </c>
      <c r="D27" s="39">
        <f>D13+D23+D25</f>
        <v>2345</v>
      </c>
      <c r="E27" s="41"/>
      <c r="F27" s="38">
        <f>F13+F23+F25</f>
        <v>-301.50809523809517</v>
      </c>
      <c r="G27" s="39">
        <f>G13+G23+G25</f>
        <v>2573.4919047619051</v>
      </c>
      <c r="H27" s="40">
        <f>H13+H23+H25</f>
        <v>2144.5765873015871</v>
      </c>
      <c r="I27" s="40">
        <f>I13+I23+I25</f>
        <v>1724</v>
      </c>
      <c r="J27" s="40">
        <f>J13+J23+J25</f>
        <v>420.57658730158721</v>
      </c>
      <c r="L27" s="38">
        <f>L13+L23+L25</f>
        <v>547</v>
      </c>
      <c r="M27" s="39">
        <f>M13+M23+M25</f>
        <v>2875</v>
      </c>
      <c r="N27" s="40">
        <f>N13+N23+N25</f>
        <v>2395.8333333333335</v>
      </c>
      <c r="O27" s="40">
        <f>O13+O23+O25</f>
        <v>1409.9099999999999</v>
      </c>
      <c r="P27" s="40">
        <f>P13+P23+P25</f>
        <v>985.92333333333329</v>
      </c>
      <c r="R27" s="39">
        <f>R13+R23+R25</f>
        <v>2328</v>
      </c>
      <c r="S27" s="40">
        <f>S13+S23+S25</f>
        <v>1939.9999999999995</v>
      </c>
      <c r="T27" s="40">
        <f>T13+T23+T25</f>
        <v>1574.1999999999998</v>
      </c>
      <c r="U27" s="40">
        <f>U13+U23+U25</f>
        <v>365.8</v>
      </c>
    </row>
    <row r="28" spans="1:25" x14ac:dyDescent="0.25">
      <c r="C28" s="33"/>
      <c r="F28" s="33"/>
      <c r="G28" s="41"/>
      <c r="H28" s="32"/>
      <c r="L28" s="33"/>
      <c r="M28" s="41"/>
      <c r="R28" s="41"/>
      <c r="T28" s="42"/>
    </row>
    <row r="29" spans="1:25" x14ac:dyDescent="0.25">
      <c r="A29" s="50" t="s">
        <v>100</v>
      </c>
      <c r="C29" s="84">
        <f>D29-G29</f>
        <v>300</v>
      </c>
      <c r="D29" s="363">
        <f>Reserves!F18</f>
        <v>340</v>
      </c>
      <c r="E29" s="305"/>
      <c r="F29" s="84">
        <f>G29-M29</f>
        <v>-360</v>
      </c>
      <c r="G29" s="36">
        <v>40</v>
      </c>
      <c r="H29" s="86">
        <f t="shared" ref="H29" si="18">G29/12*10</f>
        <v>33.333333333333336</v>
      </c>
      <c r="I29" s="343"/>
      <c r="J29" s="86">
        <f t="shared" ref="J29" si="19">H29-I29</f>
        <v>33.333333333333336</v>
      </c>
      <c r="L29" s="79">
        <f t="shared" ref="L29" si="20">M29-R29</f>
        <v>0</v>
      </c>
      <c r="M29" s="36">
        <v>400</v>
      </c>
      <c r="N29" s="86">
        <f t="shared" ref="N29" si="21">M29/12*10</f>
        <v>333.33333333333337</v>
      </c>
      <c r="O29" s="86">
        <v>0</v>
      </c>
      <c r="P29" s="86">
        <f t="shared" ref="P29" si="22">N29-O29</f>
        <v>333.33333333333337</v>
      </c>
      <c r="R29" s="36">
        <v>400</v>
      </c>
      <c r="S29" s="86">
        <f>R29/12*10</f>
        <v>333.33333333333337</v>
      </c>
      <c r="T29" s="37">
        <v>300</v>
      </c>
      <c r="U29" s="81">
        <f>S29-T29</f>
        <v>33.333333333333371</v>
      </c>
      <c r="W29" s="51"/>
    </row>
    <row r="30" spans="1:25" x14ac:dyDescent="0.25">
      <c r="A30" s="50"/>
      <c r="C30" s="33"/>
      <c r="F30" s="33"/>
      <c r="G30" s="36"/>
      <c r="H30" s="32"/>
      <c r="L30" s="33"/>
      <c r="M30" s="36"/>
      <c r="R30" s="36"/>
      <c r="T30" s="37"/>
      <c r="W30" s="51"/>
    </row>
    <row r="31" spans="1:25" ht="15.75" thickBot="1" x14ac:dyDescent="0.3">
      <c r="A31" s="138" t="s">
        <v>1</v>
      </c>
      <c r="C31" s="98">
        <f t="shared" ref="C31" si="23">SUM(C27:C30)</f>
        <v>71.508095238095223</v>
      </c>
      <c r="D31" s="99">
        <f t="shared" ref="D31" si="24">SUM(D27:D30)</f>
        <v>2685</v>
      </c>
      <c r="E31" s="320"/>
      <c r="F31" s="98">
        <f>SUM(F27:F30)</f>
        <v>-661.50809523809517</v>
      </c>
      <c r="G31" s="99">
        <f>SUM(G27:G30)</f>
        <v>2613.4919047619051</v>
      </c>
      <c r="H31" s="52">
        <f t="shared" ref="H31:J31" si="25">SUM(H27:H30)</f>
        <v>2177.9099206349206</v>
      </c>
      <c r="I31" s="52">
        <f t="shared" si="25"/>
        <v>1724</v>
      </c>
      <c r="J31" s="52">
        <f t="shared" si="25"/>
        <v>453.90992063492052</v>
      </c>
      <c r="L31" s="98">
        <f t="shared" ref="L31:P31" si="26">SUM(L27:L30)</f>
        <v>547</v>
      </c>
      <c r="M31" s="99">
        <f t="shared" si="26"/>
        <v>3275</v>
      </c>
      <c r="N31" s="52">
        <f t="shared" si="26"/>
        <v>2729.166666666667</v>
      </c>
      <c r="O31" s="52">
        <f t="shared" si="26"/>
        <v>1409.9099999999999</v>
      </c>
      <c r="P31" s="52">
        <f t="shared" si="26"/>
        <v>1319.2566666666667</v>
      </c>
      <c r="R31" s="99">
        <f>SUM(R27:R30)</f>
        <v>2728</v>
      </c>
      <c r="S31" s="52">
        <f t="shared" ref="S31:U31" si="27">SUM(S27:S30)</f>
        <v>2273.333333333333</v>
      </c>
      <c r="T31" s="52">
        <f t="shared" si="27"/>
        <v>1874.1999999999998</v>
      </c>
      <c r="U31" s="52">
        <f t="shared" si="27"/>
        <v>399.13333333333338</v>
      </c>
      <c r="W31" s="158">
        <f>SUM(B31:V31)</f>
        <v>25619.311746031748</v>
      </c>
      <c r="X31" s="159" t="s">
        <v>174</v>
      </c>
    </row>
    <row r="33" spans="1:9" x14ac:dyDescent="0.25">
      <c r="A33" s="5" t="s">
        <v>166</v>
      </c>
      <c r="C33" s="100">
        <f>Summary!$C$25</f>
        <v>1.7000000000000001E-2</v>
      </c>
      <c r="I33" s="100"/>
    </row>
    <row r="35" spans="1:9" x14ac:dyDescent="0.25">
      <c r="A35" s="14" t="s">
        <v>98</v>
      </c>
      <c r="B35" s="185"/>
      <c r="C35" s="295"/>
      <c r="D35" s="306"/>
      <c r="E35" s="306"/>
      <c r="F35" s="306"/>
      <c r="G35" s="306"/>
      <c r="H35" s="306"/>
      <c r="I35" s="185"/>
    </row>
    <row r="36" spans="1:9" ht="30" customHeight="1" x14ac:dyDescent="0.25">
      <c r="A36" s="432" t="s">
        <v>352</v>
      </c>
      <c r="B36" s="373"/>
      <c r="C36" s="373"/>
      <c r="D36" s="373"/>
      <c r="E36" s="373"/>
      <c r="F36" s="373"/>
      <c r="G36" s="373"/>
      <c r="H36" s="373"/>
      <c r="I36" s="373"/>
    </row>
    <row r="37" spans="1:9" x14ac:dyDescent="0.25">
      <c r="A37" s="32" t="s">
        <v>226</v>
      </c>
    </row>
    <row r="38" spans="1:9" x14ac:dyDescent="0.25">
      <c r="A38" s="32" t="s">
        <v>227</v>
      </c>
    </row>
    <row r="39" spans="1:9" x14ac:dyDescent="0.25">
      <c r="A39" s="32" t="s">
        <v>228</v>
      </c>
    </row>
    <row r="40" spans="1:9" ht="30" customHeight="1" x14ac:dyDescent="0.25">
      <c r="A40" s="434"/>
      <c r="B40" s="435"/>
      <c r="C40" s="435"/>
      <c r="D40" s="435"/>
      <c r="E40" s="435"/>
      <c r="F40" s="435"/>
      <c r="G40" s="435"/>
      <c r="H40" s="435"/>
      <c r="I40" s="435"/>
    </row>
    <row r="42" spans="1:9" ht="18.75" x14ac:dyDescent="0.25">
      <c r="A42" s="351" t="s">
        <v>267</v>
      </c>
      <c r="B42" s="352"/>
      <c r="C42" s="353" t="s">
        <v>236</v>
      </c>
      <c r="D42" s="354" t="s">
        <v>237</v>
      </c>
      <c r="F42" s="356" t="s">
        <v>268</v>
      </c>
    </row>
    <row r="43" spans="1:9" x14ac:dyDescent="0.25">
      <c r="A43" s="236" t="s">
        <v>304</v>
      </c>
      <c r="B43" s="237"/>
      <c r="C43" s="239">
        <v>4964</v>
      </c>
      <c r="D43" s="239"/>
      <c r="F43" s="34" t="s">
        <v>307</v>
      </c>
    </row>
    <row r="44" spans="1:9" x14ac:dyDescent="0.25">
      <c r="A44" s="192"/>
      <c r="B44" s="237"/>
      <c r="C44" s="239"/>
      <c r="D44" s="239"/>
    </row>
    <row r="45" spans="1:9" x14ac:dyDescent="0.25">
      <c r="A45" s="192"/>
      <c r="B45" s="237"/>
      <c r="C45" s="238"/>
      <c r="D45" s="239"/>
    </row>
    <row r="46" spans="1:9" x14ac:dyDescent="0.25">
      <c r="A46" s="192"/>
      <c r="B46" s="237"/>
      <c r="C46" s="238"/>
      <c r="D46" s="239"/>
    </row>
    <row r="47" spans="1:9" x14ac:dyDescent="0.25">
      <c r="A47" s="194"/>
      <c r="B47" s="193"/>
      <c r="C47" s="191"/>
      <c r="D47" s="191"/>
    </row>
    <row r="48" spans="1:9" x14ac:dyDescent="0.25">
      <c r="A48" s="194"/>
      <c r="B48" s="193"/>
      <c r="C48" s="191"/>
      <c r="D48" s="191"/>
    </row>
    <row r="49" spans="1:6" x14ac:dyDescent="0.25">
      <c r="A49" s="194"/>
      <c r="B49" s="193"/>
      <c r="C49" s="191"/>
      <c r="D49" s="191"/>
    </row>
    <row r="50" spans="1:6" x14ac:dyDescent="0.25">
      <c r="A50" s="194"/>
      <c r="B50" s="193"/>
      <c r="C50" s="191"/>
      <c r="D50" s="191"/>
    </row>
    <row r="51" spans="1:6" x14ac:dyDescent="0.25">
      <c r="A51" s="194"/>
      <c r="B51" s="193"/>
      <c r="C51" s="191"/>
      <c r="D51" s="191"/>
    </row>
    <row r="52" spans="1:6" x14ac:dyDescent="0.25">
      <c r="A52" s="221"/>
      <c r="B52" s="237"/>
      <c r="C52" s="238"/>
      <c r="D52" s="238"/>
    </row>
    <row r="53" spans="1:6" x14ac:dyDescent="0.25">
      <c r="A53" s="240" t="s">
        <v>201</v>
      </c>
      <c r="B53" s="241"/>
      <c r="C53" s="242">
        <f>SUM(C43:C52)</f>
        <v>4964</v>
      </c>
      <c r="D53" s="242">
        <f>SUM(D43:D52)</f>
        <v>0</v>
      </c>
    </row>
    <row r="54" spans="1:6" x14ac:dyDescent="0.25">
      <c r="A54" s="295"/>
      <c r="B54" s="226"/>
      <c r="C54" s="226"/>
      <c r="D54" s="303"/>
    </row>
    <row r="55" spans="1:6" ht="30" customHeight="1" x14ac:dyDescent="0.25">
      <c r="A55" s="414"/>
      <c r="B55" s="415"/>
      <c r="C55" s="415"/>
      <c r="D55" s="415"/>
      <c r="E55" s="425"/>
      <c r="F55" s="425"/>
    </row>
    <row r="56" spans="1:6" ht="30" customHeight="1" x14ac:dyDescent="0.25">
      <c r="A56" s="414"/>
      <c r="B56" s="415"/>
      <c r="C56" s="415"/>
      <c r="D56" s="415"/>
      <c r="E56" s="425"/>
      <c r="F56" s="425"/>
    </row>
    <row r="57" spans="1:6" ht="30" customHeight="1" x14ac:dyDescent="0.25">
      <c r="A57" s="414"/>
      <c r="B57" s="415"/>
      <c r="C57" s="415"/>
      <c r="D57" s="415"/>
      <c r="E57" s="425"/>
      <c r="F57" s="425"/>
    </row>
  </sheetData>
  <mergeCells count="19">
    <mergeCell ref="L3:P3"/>
    <mergeCell ref="A36:I36"/>
    <mergeCell ref="A40:I40"/>
    <mergeCell ref="R3:U3"/>
    <mergeCell ref="F4:F5"/>
    <mergeCell ref="L4:L5"/>
    <mergeCell ref="M4:N4"/>
    <mergeCell ref="R4:S4"/>
    <mergeCell ref="N5:P5"/>
    <mergeCell ref="S5:U5"/>
    <mergeCell ref="C3:D3"/>
    <mergeCell ref="C4:C5"/>
    <mergeCell ref="D4:D5"/>
    <mergeCell ref="G4:H4"/>
    <mergeCell ref="A55:F55"/>
    <mergeCell ref="A56:F56"/>
    <mergeCell ref="A57:F57"/>
    <mergeCell ref="H5:J5"/>
    <mergeCell ref="F3:J3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87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33"/>
  <sheetViews>
    <sheetView showGridLines="0" topLeftCell="P1" zoomScale="80" zoomScaleNormal="80" workbookViewId="0">
      <pane ySplit="5" topLeftCell="A15" activePane="bottomLeft" state="frozen"/>
      <selection pane="bottomLeft" activeCell="E2" sqref="E2"/>
    </sheetView>
  </sheetViews>
  <sheetFormatPr defaultColWidth="9.140625" defaultRowHeight="15" x14ac:dyDescent="0.2"/>
  <cols>
    <col min="1" max="1" width="40.7109375" style="5" customWidth="1"/>
    <col min="2" max="2" width="2.7109375" style="5" customWidth="1"/>
    <col min="3" max="3" width="11.7109375" style="295" customWidth="1"/>
    <col min="4" max="4" width="13.85546875" style="295" customWidth="1"/>
    <col min="5" max="5" width="2.7109375" style="295" customWidth="1"/>
    <col min="6" max="8" width="12.7109375" style="5" customWidth="1"/>
    <col min="9" max="11" width="12.7109375" style="295" customWidth="1"/>
    <col min="12" max="12" width="2.7109375" style="5" customWidth="1"/>
    <col min="13" max="18" width="12.7109375" style="5" customWidth="1"/>
    <col min="19" max="19" width="2.7109375" style="5" customWidth="1"/>
    <col min="20" max="23" width="12.7109375" style="5" customWidth="1"/>
    <col min="24" max="24" width="2.7109375" style="5" customWidth="1"/>
    <col min="25" max="25" width="14.5703125" style="5" bestFit="1" customWidth="1"/>
    <col min="26" max="26" width="10.28515625" style="5" bestFit="1" customWidth="1"/>
    <col min="27" max="27" width="8.42578125" style="5" bestFit="1" customWidth="1"/>
    <col min="28" max="16384" width="9.140625" style="5"/>
  </cols>
  <sheetData>
    <row r="1" spans="1:27" ht="21" x14ac:dyDescent="0.2">
      <c r="A1" s="53" t="s">
        <v>126</v>
      </c>
      <c r="B1" s="54"/>
      <c r="C1" s="54"/>
      <c r="D1" s="54"/>
      <c r="E1" s="54"/>
      <c r="F1" s="56"/>
      <c r="G1" s="56" t="s">
        <v>168</v>
      </c>
      <c r="H1" s="55"/>
      <c r="I1" s="55"/>
      <c r="J1" s="55"/>
      <c r="K1" s="55"/>
      <c r="L1" s="55"/>
      <c r="M1" s="55"/>
      <c r="N1" s="55"/>
      <c r="O1" s="54"/>
    </row>
    <row r="2" spans="1:27" ht="21" x14ac:dyDescent="0.2">
      <c r="B2" s="54"/>
      <c r="C2" s="54"/>
      <c r="D2" s="54"/>
      <c r="E2" s="54"/>
      <c r="G2" s="54"/>
      <c r="H2" s="56"/>
      <c r="I2" s="56"/>
      <c r="J2" s="56"/>
      <c r="K2" s="56"/>
      <c r="L2" s="55"/>
      <c r="M2" s="55"/>
      <c r="N2" s="55"/>
      <c r="O2" s="55"/>
      <c r="P2" s="54"/>
    </row>
    <row r="3" spans="1:27" s="14" customFormat="1" ht="21" x14ac:dyDescent="0.2">
      <c r="A3" s="56" t="s">
        <v>265</v>
      </c>
      <c r="B3" s="334"/>
      <c r="C3" s="403">
        <v>2020</v>
      </c>
      <c r="D3" s="404"/>
      <c r="E3" s="334"/>
      <c r="F3" s="403">
        <v>2019</v>
      </c>
      <c r="G3" s="410"/>
      <c r="H3" s="410"/>
      <c r="I3" s="410"/>
      <c r="J3" s="410"/>
      <c r="K3" s="411"/>
      <c r="L3" s="335"/>
      <c r="M3" s="403">
        <v>2018</v>
      </c>
      <c r="N3" s="410"/>
      <c r="O3" s="410"/>
      <c r="P3" s="410"/>
      <c r="Q3" s="410"/>
      <c r="R3" s="411"/>
      <c r="S3" s="334"/>
      <c r="T3" s="403">
        <v>2017</v>
      </c>
      <c r="U3" s="405"/>
      <c r="V3" s="405"/>
      <c r="W3" s="404"/>
      <c r="X3" s="335"/>
      <c r="Y3" s="337"/>
    </row>
    <row r="4" spans="1:27" x14ac:dyDescent="0.2">
      <c r="A4" s="23"/>
      <c r="B4" s="23"/>
      <c r="C4" s="399" t="s">
        <v>261</v>
      </c>
      <c r="D4" s="401" t="s">
        <v>44</v>
      </c>
      <c r="E4" s="23"/>
      <c r="F4" s="413" t="s">
        <v>175</v>
      </c>
      <c r="G4" s="399" t="s">
        <v>261</v>
      </c>
      <c r="H4" s="407" t="s">
        <v>163</v>
      </c>
      <c r="I4" s="407"/>
      <c r="J4" s="292" t="s">
        <v>118</v>
      </c>
      <c r="K4" s="292" t="s">
        <v>97</v>
      </c>
      <c r="L4" s="23"/>
      <c r="M4" s="412" t="s">
        <v>176</v>
      </c>
      <c r="N4" s="399" t="s">
        <v>164</v>
      </c>
      <c r="O4" s="407" t="s">
        <v>163</v>
      </c>
      <c r="P4" s="407"/>
      <c r="Q4" s="24" t="s">
        <v>118</v>
      </c>
      <c r="R4" s="24" t="s">
        <v>97</v>
      </c>
      <c r="S4" s="23"/>
      <c r="T4" s="407" t="s">
        <v>163</v>
      </c>
      <c r="U4" s="408"/>
      <c r="V4" s="24" t="s">
        <v>118</v>
      </c>
      <c r="W4" s="24" t="s">
        <v>97</v>
      </c>
      <c r="X4" s="24"/>
      <c r="Y4" s="25"/>
    </row>
    <row r="5" spans="1:27" x14ac:dyDescent="0.2">
      <c r="A5" s="23"/>
      <c r="B5" s="23"/>
      <c r="C5" s="400"/>
      <c r="D5" s="402"/>
      <c r="E5" s="23"/>
      <c r="F5" s="413"/>
      <c r="G5" s="400"/>
      <c r="H5" s="26" t="s">
        <v>161</v>
      </c>
      <c r="I5" s="409" t="s">
        <v>162</v>
      </c>
      <c r="J5" s="408"/>
      <c r="K5" s="408"/>
      <c r="L5" s="23"/>
      <c r="M5" s="412"/>
      <c r="N5" s="406"/>
      <c r="O5" s="26" t="s">
        <v>161</v>
      </c>
      <c r="P5" s="409" t="s">
        <v>162</v>
      </c>
      <c r="Q5" s="408"/>
      <c r="R5" s="408"/>
      <c r="S5" s="23"/>
      <c r="T5" s="26" t="s">
        <v>161</v>
      </c>
      <c r="U5" s="409" t="s">
        <v>162</v>
      </c>
      <c r="V5" s="408"/>
      <c r="W5" s="408"/>
      <c r="X5" s="24"/>
      <c r="Y5" s="25"/>
    </row>
    <row r="6" spans="1:27" x14ac:dyDescent="0.2">
      <c r="A6" s="23"/>
      <c r="B6" s="23"/>
      <c r="C6" s="23"/>
      <c r="D6" s="23"/>
      <c r="E6" s="23"/>
      <c r="F6" s="163"/>
      <c r="G6" s="164"/>
      <c r="H6" s="153"/>
      <c r="I6" s="291"/>
      <c r="J6" s="291"/>
      <c r="K6" s="291"/>
      <c r="L6" s="23"/>
      <c r="M6" s="177"/>
      <c r="N6" s="154"/>
      <c r="O6" s="26"/>
      <c r="P6" s="26"/>
      <c r="Q6" s="155"/>
      <c r="R6" s="155"/>
      <c r="S6" s="23"/>
      <c r="T6" s="26"/>
      <c r="U6" s="26"/>
      <c r="V6" s="155"/>
      <c r="W6" s="155"/>
      <c r="X6" s="24"/>
      <c r="Y6" s="157" t="s">
        <v>193</v>
      </c>
    </row>
    <row r="7" spans="1:27" ht="15.75" x14ac:dyDescent="0.2">
      <c r="A7" s="178" t="s">
        <v>177</v>
      </c>
      <c r="B7" s="57"/>
      <c r="C7" s="61">
        <f>'Communal Management Costs'!C78</f>
        <v>1831.0699999999988</v>
      </c>
      <c r="D7" s="62">
        <f>'Communal Management Costs'!D78</f>
        <v>145373.91999999998</v>
      </c>
      <c r="E7" s="57"/>
      <c r="F7" s="161">
        <f t="shared" ref="F7:F21" si="0">H7-M7</f>
        <v>14931.849999999977</v>
      </c>
      <c r="G7" s="61">
        <f>'Communal Management Costs'!F78</f>
        <v>4837.8499999999995</v>
      </c>
      <c r="H7" s="62">
        <f>'Communal Management Costs'!G78</f>
        <v>143292.84999999998</v>
      </c>
      <c r="I7" s="63">
        <f>'Communal Management Costs'!H78</f>
        <v>119410.70833333331</v>
      </c>
      <c r="J7" s="63">
        <f>'Communal Management Costs'!I78</f>
        <v>106466</v>
      </c>
      <c r="K7" s="63">
        <f>'Communal Management Costs'!J78</f>
        <v>14036.708333333328</v>
      </c>
      <c r="L7" s="63"/>
      <c r="M7" s="179">
        <f>89930+38431</f>
        <v>128361</v>
      </c>
      <c r="N7" s="61">
        <f>'Communal Management Costs'!L78</f>
        <v>11365</v>
      </c>
      <c r="O7" s="62">
        <f>'Communal Management Costs'!M78</f>
        <v>138455</v>
      </c>
      <c r="P7" s="63">
        <f>'Communal Management Costs'!N78</f>
        <v>115379.16666666666</v>
      </c>
      <c r="Q7" s="63">
        <f>'Communal Management Costs'!O78</f>
        <v>101958.37000000001</v>
      </c>
      <c r="R7" s="63">
        <f>'Communal Management Costs'!P78</f>
        <v>13420.796666666667</v>
      </c>
      <c r="S7" s="63"/>
      <c r="T7" s="62">
        <f>'Communal Management Costs'!R78</f>
        <v>127090</v>
      </c>
      <c r="U7" s="63">
        <f>'Communal Management Costs'!S78</f>
        <v>105908.33333333333</v>
      </c>
      <c r="V7" s="63">
        <f>'Communal Management Costs'!T78</f>
        <v>119176</v>
      </c>
      <c r="W7" s="63">
        <f>'Communal Management Costs'!U78</f>
        <v>-13267.666666666664</v>
      </c>
      <c r="X7" s="63"/>
      <c r="Y7" s="156">
        <f>'Communal Management Costs'!W78</f>
        <v>1254734.1066666665</v>
      </c>
      <c r="Z7" s="156">
        <f>SUM(C7:X7)-F7-M7</f>
        <v>1254734.1066666665</v>
      </c>
      <c r="AA7" s="156">
        <f>Y7-Z7</f>
        <v>0</v>
      </c>
    </row>
    <row r="8" spans="1:27" ht="15.75" x14ac:dyDescent="0.2">
      <c r="A8" s="178" t="s">
        <v>65</v>
      </c>
      <c r="B8" s="58"/>
      <c r="C8" s="59">
        <f>'Leisure Suite'!C69</f>
        <v>-1678.8089695940912</v>
      </c>
      <c r="D8" s="64">
        <f>'Leisure Suite'!D69</f>
        <v>64188</v>
      </c>
      <c r="E8" s="58"/>
      <c r="F8" s="161">
        <f t="shared" si="0"/>
        <v>10852.808969594087</v>
      </c>
      <c r="G8" s="59">
        <f>'Leisure Suite'!F69</f>
        <v>3206.8089695940916</v>
      </c>
      <c r="H8" s="64">
        <f>'Leisure Suite'!G69</f>
        <v>65266.808969594087</v>
      </c>
      <c r="I8" s="60">
        <f>'Leisure Suite'!H69</f>
        <v>54389.007474661739</v>
      </c>
      <c r="J8" s="60">
        <f>'Leisure Suite'!I69</f>
        <v>44238</v>
      </c>
      <c r="K8" s="60">
        <f>'Leisure Suite'!J69</f>
        <v>11228.007474661741</v>
      </c>
      <c r="L8" s="63"/>
      <c r="M8" s="179">
        <v>54414</v>
      </c>
      <c r="N8" s="61">
        <f>'Leisure Suite'!L69</f>
        <v>8185</v>
      </c>
      <c r="O8" s="64">
        <f>'Leisure Suite'!M69</f>
        <v>62060</v>
      </c>
      <c r="P8" s="60">
        <f>'Leisure Suite'!N69</f>
        <v>51716.666666666664</v>
      </c>
      <c r="Q8" s="60">
        <f>'Leisure Suite'!O69</f>
        <v>46917.582999999999</v>
      </c>
      <c r="R8" s="60">
        <f>'Leisure Suite'!P69</f>
        <v>4799.0836666666655</v>
      </c>
      <c r="S8" s="63"/>
      <c r="T8" s="62">
        <f>'Leisure Suite'!R69</f>
        <v>53875</v>
      </c>
      <c r="U8" s="60">
        <f>'Leisure Suite'!S69</f>
        <v>44895.833333333336</v>
      </c>
      <c r="V8" s="63">
        <f>'Leisure Suite'!T69</f>
        <v>57941.08</v>
      </c>
      <c r="W8" s="63">
        <f>'Leisure Suite'!U69</f>
        <v>-13045.246666666662</v>
      </c>
      <c r="X8" s="60"/>
      <c r="Y8" s="156">
        <f>'Leisure Suite'!W69</f>
        <v>558182.82391891745</v>
      </c>
      <c r="Z8" s="156">
        <f t="shared" ref="Z8:Z21" si="1">SUM(C8:X8)-F8-M8</f>
        <v>558182.82391891757</v>
      </c>
      <c r="AA8" s="156">
        <f>Y8-Z8</f>
        <v>0</v>
      </c>
    </row>
    <row r="9" spans="1:27" ht="15.75" x14ac:dyDescent="0.2">
      <c r="A9" s="178" t="s">
        <v>2</v>
      </c>
      <c r="B9" s="58"/>
      <c r="C9" s="59">
        <f>Insurance!C15</f>
        <v>3084.3100000000013</v>
      </c>
      <c r="D9" s="64">
        <f>Insurance!D15</f>
        <v>39636</v>
      </c>
      <c r="E9" s="58"/>
      <c r="F9" s="161">
        <f t="shared" si="0"/>
        <v>-1022.3100000000049</v>
      </c>
      <c r="G9" s="59">
        <f>Insurance!F15</f>
        <v>5265.6899999999987</v>
      </c>
      <c r="H9" s="64">
        <f>Insurance!G15</f>
        <v>36551.689999999995</v>
      </c>
      <c r="I9" s="60">
        <f>Insurance!H15</f>
        <v>30459.741666666669</v>
      </c>
      <c r="J9" s="60">
        <f>Insurance!I15</f>
        <v>36664</v>
      </c>
      <c r="K9" s="60">
        <f>Insurance!J15</f>
        <v>-6204.2583333333323</v>
      </c>
      <c r="L9" s="63"/>
      <c r="M9" s="179">
        <v>37574</v>
      </c>
      <c r="N9" s="61">
        <f>Insurance!L15</f>
        <v>-5916</v>
      </c>
      <c r="O9" s="64">
        <f>Insurance!M15</f>
        <v>31286</v>
      </c>
      <c r="P9" s="60">
        <f>Insurance!N15</f>
        <v>26071.666666666672</v>
      </c>
      <c r="Q9" s="60">
        <f>Insurance!O15</f>
        <v>-1375</v>
      </c>
      <c r="R9" s="60">
        <f>Insurance!P15</f>
        <v>27446.666666666672</v>
      </c>
      <c r="S9" s="63"/>
      <c r="T9" s="62">
        <f>Insurance!R15</f>
        <v>37202</v>
      </c>
      <c r="U9" s="60">
        <f>Insurance!S15</f>
        <v>31001.666666666668</v>
      </c>
      <c r="V9" s="63">
        <f>Insurance!T15</f>
        <v>34604.590000000004</v>
      </c>
      <c r="W9" s="63">
        <f>Insurance!U15</f>
        <v>-3602.9233333333332</v>
      </c>
      <c r="X9" s="60"/>
      <c r="Y9" s="156">
        <f>Insurance!W15</f>
        <v>322175.84000000008</v>
      </c>
      <c r="Z9" s="156">
        <f t="shared" si="1"/>
        <v>322175.84000000003</v>
      </c>
      <c r="AA9" s="156">
        <f>Y9-Z9</f>
        <v>0</v>
      </c>
    </row>
    <row r="10" spans="1:27" ht="15.75" x14ac:dyDescent="0.2">
      <c r="A10" s="178" t="s">
        <v>53</v>
      </c>
      <c r="B10" s="58"/>
      <c r="C10" s="59">
        <f>Alexandra!C28</f>
        <v>215.08825396825395</v>
      </c>
      <c r="D10" s="64">
        <f>Alexandra!D28</f>
        <v>1893</v>
      </c>
      <c r="E10" s="58"/>
      <c r="F10" s="161">
        <f t="shared" si="0"/>
        <v>90.911746031746134</v>
      </c>
      <c r="G10" s="59">
        <f>Alexandra!F28</f>
        <v>-12.08825396825398</v>
      </c>
      <c r="H10" s="64">
        <f>Alexandra!G28</f>
        <v>1677.9117460317461</v>
      </c>
      <c r="I10" s="59">
        <f>Alexandra!H28</f>
        <v>1188.2597883597882</v>
      </c>
      <c r="J10" s="59">
        <f>Alexandra!I28</f>
        <v>1557</v>
      </c>
      <c r="K10" s="59">
        <f>Alexandra!J28</f>
        <v>-368.74021164021167</v>
      </c>
      <c r="L10" s="63"/>
      <c r="M10" s="179">
        <v>1587</v>
      </c>
      <c r="N10" s="59">
        <f>Alexandra!L28</f>
        <v>119</v>
      </c>
      <c r="O10" s="64">
        <f>Alexandra!M28</f>
        <v>1690</v>
      </c>
      <c r="P10" s="59">
        <f>Alexandra!N28</f>
        <v>1408.3333333333335</v>
      </c>
      <c r="Q10" s="59">
        <f>Alexandra!O28</f>
        <v>3201.26</v>
      </c>
      <c r="R10" s="59">
        <f>Alexandra!P28</f>
        <v>-1792.9266666666667</v>
      </c>
      <c r="S10" s="63"/>
      <c r="T10" s="64">
        <f>Alexandra!R28</f>
        <v>1571</v>
      </c>
      <c r="U10" s="59">
        <f>Alexandra!S28</f>
        <v>1309.1666666666667</v>
      </c>
      <c r="V10" s="59">
        <f>Alexandra!T28</f>
        <v>1816.81</v>
      </c>
      <c r="W10" s="59">
        <f>Alexandra!U28</f>
        <v>-507.64333333333326</v>
      </c>
      <c r="X10" s="60"/>
      <c r="Y10" s="156">
        <f>Alexandra!W28</f>
        <v>14965.431322751323</v>
      </c>
      <c r="Z10" s="156">
        <f t="shared" si="1"/>
        <v>14965.431322751323</v>
      </c>
      <c r="AA10" s="156">
        <f>Y10-Z10</f>
        <v>0</v>
      </c>
    </row>
    <row r="11" spans="1:27" ht="15.75" x14ac:dyDescent="0.2">
      <c r="A11" s="178" t="s">
        <v>54</v>
      </c>
      <c r="B11" s="58"/>
      <c r="C11" s="59">
        <f>'Alexandra Building'!C14</f>
        <v>-700</v>
      </c>
      <c r="D11" s="64">
        <f>'Alexandra Building'!D14</f>
        <v>3475</v>
      </c>
      <c r="E11" s="58"/>
      <c r="F11" s="161">
        <f t="shared" si="0"/>
        <v>135</v>
      </c>
      <c r="G11" s="59">
        <f>'Alexandra Building'!F14</f>
        <v>175</v>
      </c>
      <c r="H11" s="64">
        <f>'Alexandra Building'!G14</f>
        <v>4175</v>
      </c>
      <c r="I11" s="59">
        <f>'Alexandra Building'!H14</f>
        <v>3479.1666666666665</v>
      </c>
      <c r="J11" s="59">
        <f>'Alexandra Building'!I14</f>
        <v>0</v>
      </c>
      <c r="K11" s="59">
        <f>'Alexandra Building'!J14</f>
        <v>3479.1666666666665</v>
      </c>
      <c r="L11" s="63"/>
      <c r="M11" s="179">
        <v>4040</v>
      </c>
      <c r="N11" s="59">
        <f>'Alexandra Building'!L14</f>
        <v>0</v>
      </c>
      <c r="O11" s="64">
        <f>'Alexandra Building'!M14</f>
        <v>4000</v>
      </c>
      <c r="P11" s="59">
        <f>'Alexandra Building'!N14</f>
        <v>3333.3333333333335</v>
      </c>
      <c r="Q11" s="59">
        <f>'Alexandra Building'!O14</f>
        <v>0</v>
      </c>
      <c r="R11" s="59">
        <f>'Alexandra Building'!P14</f>
        <v>3333.3333333333335</v>
      </c>
      <c r="S11" s="63"/>
      <c r="T11" s="64">
        <f>'Alexandra Building'!R14</f>
        <v>4000</v>
      </c>
      <c r="U11" s="59">
        <f>'Alexandra Building'!S14</f>
        <v>3333.6666666666665</v>
      </c>
      <c r="V11" s="59">
        <f>'Alexandra Building'!T14</f>
        <v>2250</v>
      </c>
      <c r="W11" s="59">
        <f>'Alexandra Building'!U14</f>
        <v>1083.6666666666665</v>
      </c>
      <c r="X11" s="60"/>
      <c r="Y11" s="160">
        <f>'Alexandra Building'!W14</f>
        <v>35417.333333333328</v>
      </c>
      <c r="Z11" s="156">
        <f t="shared" si="1"/>
        <v>35417.333333333328</v>
      </c>
      <c r="AA11" s="156">
        <f t="shared" ref="AA11:AA21" si="2">Y11-Z11</f>
        <v>0</v>
      </c>
    </row>
    <row r="12" spans="1:27" ht="15.75" x14ac:dyDescent="0.2">
      <c r="A12" s="178" t="s">
        <v>55</v>
      </c>
      <c r="B12" s="57"/>
      <c r="C12" s="79">
        <f>Cliffe!C30</f>
        <v>-619.66063492063495</v>
      </c>
      <c r="D12" s="80">
        <f>Cliffe!D30</f>
        <v>5814</v>
      </c>
      <c r="E12" s="57"/>
      <c r="F12" s="161">
        <f t="shared" si="0"/>
        <v>31.660634920634948</v>
      </c>
      <c r="G12" s="79">
        <f>Cliffe!F30</f>
        <v>223.66063492063495</v>
      </c>
      <c r="H12" s="80">
        <f>Cliffe!G30</f>
        <v>6433.6606349206349</v>
      </c>
      <c r="I12" s="81">
        <f>Cliffe!H30</f>
        <v>5361.3838624338623</v>
      </c>
      <c r="J12" s="81">
        <f>Cliffe!I30</f>
        <v>2007</v>
      </c>
      <c r="K12" s="81">
        <f>Cliffe!J30</f>
        <v>3354.3838624338623</v>
      </c>
      <c r="L12" s="81"/>
      <c r="M12" s="179">
        <v>6402</v>
      </c>
      <c r="N12" s="79">
        <f>Cliffe!L30</f>
        <v>-128</v>
      </c>
      <c r="O12" s="80">
        <f>Cliffe!M30</f>
        <v>6210</v>
      </c>
      <c r="P12" s="81">
        <f>Cliffe!N30</f>
        <v>5175</v>
      </c>
      <c r="Q12" s="81">
        <f>Cliffe!O30</f>
        <v>1351.98</v>
      </c>
      <c r="R12" s="81">
        <f>Cliffe!P30</f>
        <v>3823.0199999999995</v>
      </c>
      <c r="S12" s="81"/>
      <c r="T12" s="80">
        <f>Cliffe!R30</f>
        <v>6338</v>
      </c>
      <c r="U12" s="81">
        <f>Cliffe!S30</f>
        <v>5281.6666666666661</v>
      </c>
      <c r="V12" s="81">
        <f>Cliffe!T30</f>
        <v>4109.6499999999996</v>
      </c>
      <c r="W12" s="81">
        <f>Cliffe!U30</f>
        <v>1172.0166666666667</v>
      </c>
      <c r="X12" s="81"/>
      <c r="Y12" s="156">
        <f>Cliffe!W30</f>
        <v>55907.761693121691</v>
      </c>
      <c r="Z12" s="156">
        <f t="shared" si="1"/>
        <v>55907.761693121698</v>
      </c>
      <c r="AA12" s="156">
        <f t="shared" si="2"/>
        <v>0</v>
      </c>
    </row>
    <row r="13" spans="1:27" ht="15.75" x14ac:dyDescent="0.2">
      <c r="A13" s="178" t="s">
        <v>56</v>
      </c>
      <c r="C13" s="79">
        <f>Edward!C30</f>
        <v>197.51920634920631</v>
      </c>
      <c r="D13" s="80">
        <f>Edward!D30</f>
        <v>2814</v>
      </c>
      <c r="F13" s="161">
        <f t="shared" si="0"/>
        <v>98.480793650793657</v>
      </c>
      <c r="G13" s="79">
        <f>Edward!F30</f>
        <v>76.480793650793714</v>
      </c>
      <c r="H13" s="80">
        <f>Edward!G30</f>
        <v>2616.4807936507937</v>
      </c>
      <c r="I13" s="81">
        <f>Edward!H30</f>
        <v>2180.4006613756615</v>
      </c>
      <c r="J13" s="81">
        <f>Edward!I30</f>
        <v>1628</v>
      </c>
      <c r="K13" s="81">
        <f>Edward!J30</f>
        <v>552.40066137566146</v>
      </c>
      <c r="L13" s="81"/>
      <c r="M13" s="179">
        <v>2518</v>
      </c>
      <c r="N13" s="79">
        <f>Edward!L30</f>
        <v>47</v>
      </c>
      <c r="O13" s="80">
        <f>Edward!M30</f>
        <v>2540</v>
      </c>
      <c r="P13" s="81">
        <f>Edward!N30</f>
        <v>2116.6666666666665</v>
      </c>
      <c r="Q13" s="81">
        <f>Edward!O30</f>
        <v>1221.0899999999999</v>
      </c>
      <c r="R13" s="81">
        <f>Edward!P30</f>
        <v>895.57666666666671</v>
      </c>
      <c r="S13" s="81"/>
      <c r="T13" s="80">
        <f>Edward!R30</f>
        <v>2493</v>
      </c>
      <c r="U13" s="81">
        <f>Edward!S30</f>
        <v>2077.5</v>
      </c>
      <c r="V13" s="81">
        <f>Edward!T30</f>
        <v>1431.77</v>
      </c>
      <c r="W13" s="81">
        <f>Edward!U30</f>
        <v>645.73000000000013</v>
      </c>
      <c r="X13" s="81"/>
      <c r="Y13" s="156">
        <f>Edward!W30</f>
        <v>23533.615449735447</v>
      </c>
      <c r="Z13" s="156">
        <f t="shared" si="1"/>
        <v>23533.615449735451</v>
      </c>
      <c r="AA13" s="156">
        <f t="shared" si="2"/>
        <v>0</v>
      </c>
    </row>
    <row r="14" spans="1:27" ht="15.75" x14ac:dyDescent="0.2">
      <c r="A14" s="178" t="s">
        <v>57</v>
      </c>
      <c r="C14" s="79">
        <f>Kingswood!C35</f>
        <v>-151.87476190476195</v>
      </c>
      <c r="D14" s="80">
        <f>Kingswood!D35</f>
        <v>8176</v>
      </c>
      <c r="F14" s="161">
        <f t="shared" si="0"/>
        <v>-4574</v>
      </c>
      <c r="G14" s="79">
        <f>Kingswood!F35</f>
        <v>-572.12523809523805</v>
      </c>
      <c r="H14" s="80">
        <f>Kingswood!G35</f>
        <v>3525</v>
      </c>
      <c r="I14" s="81">
        <f>Kingswood!H35</f>
        <v>6939.8956349206346</v>
      </c>
      <c r="J14" s="81">
        <f>Kingswood!I35</f>
        <v>3525</v>
      </c>
      <c r="K14" s="81">
        <f>Kingswood!J35</f>
        <v>-893.4376984126983</v>
      </c>
      <c r="L14" s="81"/>
      <c r="M14" s="179">
        <v>8099</v>
      </c>
      <c r="N14" s="79">
        <f>Kingswood!L35</f>
        <v>882</v>
      </c>
      <c r="O14" s="80">
        <f>Kingswood!M35</f>
        <v>8900</v>
      </c>
      <c r="P14" s="81">
        <f>Kingswood!N35</f>
        <v>7416.6666666666661</v>
      </c>
      <c r="Q14" s="81">
        <f>Kingswood!O35</f>
        <v>14920.18</v>
      </c>
      <c r="R14" s="81">
        <f>Kingswood!P35</f>
        <v>-11811.846666666668</v>
      </c>
      <c r="S14" s="81"/>
      <c r="T14" s="80">
        <f>Kingswood!R35</f>
        <v>8018</v>
      </c>
      <c r="U14" s="81">
        <f>Kingswood!S35</f>
        <v>6681.6666666666661</v>
      </c>
      <c r="V14" s="81">
        <f>Kingswood!T35</f>
        <v>9120.73</v>
      </c>
      <c r="W14" s="81">
        <f>Kingswood!U35</f>
        <v>-2439.063333333333</v>
      </c>
      <c r="X14" s="81"/>
      <c r="Y14" s="156">
        <f>Kingswood!W35</f>
        <v>62236.791269841277</v>
      </c>
      <c r="Z14" s="156">
        <f t="shared" si="1"/>
        <v>62236.791269841269</v>
      </c>
      <c r="AA14" s="156">
        <f t="shared" si="2"/>
        <v>0</v>
      </c>
    </row>
    <row r="15" spans="1:27" ht="15.75" x14ac:dyDescent="0.2">
      <c r="A15" s="180" t="s">
        <v>58</v>
      </c>
      <c r="C15" s="79">
        <f>'Muxlow '!C31</f>
        <v>-256.12253968253975</v>
      </c>
      <c r="D15" s="80">
        <f>'Muxlow '!D31</f>
        <v>5762</v>
      </c>
      <c r="F15" s="161">
        <f t="shared" si="0"/>
        <v>232.12253968253935</v>
      </c>
      <c r="G15" s="79">
        <f>'Muxlow '!F31</f>
        <v>-1071.8774603174604</v>
      </c>
      <c r="H15" s="80">
        <f>'Muxlow '!G31</f>
        <v>6018.1225396825394</v>
      </c>
      <c r="I15" s="81">
        <f>'Muxlow '!H31</f>
        <v>5015.1021164021167</v>
      </c>
      <c r="J15" s="81">
        <f>'Muxlow '!I31</f>
        <v>2210</v>
      </c>
      <c r="K15" s="81">
        <f>'Muxlow '!J31</f>
        <v>2805.1021164021167</v>
      </c>
      <c r="L15" s="81"/>
      <c r="M15" s="179">
        <v>5786</v>
      </c>
      <c r="N15" s="79">
        <f>'Muxlow '!L31</f>
        <v>1362</v>
      </c>
      <c r="O15" s="80">
        <f>'Muxlow '!M31</f>
        <v>7090</v>
      </c>
      <c r="P15" s="81">
        <f>'Muxlow '!N31</f>
        <v>5908.3333333333339</v>
      </c>
      <c r="Q15" s="81">
        <f>'Muxlow '!O31</f>
        <v>1689.62</v>
      </c>
      <c r="R15" s="81">
        <f>'Muxlow '!P31</f>
        <v>4218.7133333333331</v>
      </c>
      <c r="S15" s="81"/>
      <c r="T15" s="80">
        <f>'Muxlow '!R31</f>
        <v>5728</v>
      </c>
      <c r="U15" s="81">
        <f>'Muxlow '!S31</f>
        <v>4773.3333333333339</v>
      </c>
      <c r="V15" s="81">
        <f>'Muxlow '!T31</f>
        <v>7196.35</v>
      </c>
      <c r="W15" s="81">
        <f>'Muxlow '!U31</f>
        <v>-2423.0166666666664</v>
      </c>
      <c r="X15" s="81"/>
      <c r="Y15" s="156">
        <f>'Muxlow '!W31</f>
        <v>56025.660105820105</v>
      </c>
      <c r="Z15" s="156">
        <f t="shared" si="1"/>
        <v>56025.660105820112</v>
      </c>
      <c r="AA15" s="156">
        <f t="shared" si="2"/>
        <v>0</v>
      </c>
    </row>
    <row r="16" spans="1:27" ht="15.75" x14ac:dyDescent="0.2">
      <c r="A16" s="180" t="s">
        <v>59</v>
      </c>
      <c r="C16" s="79">
        <f>Peveril!C31</f>
        <v>-182.43174603174606</v>
      </c>
      <c r="D16" s="80">
        <f>Peveril!D31</f>
        <v>3705</v>
      </c>
      <c r="F16" s="161">
        <f t="shared" si="0"/>
        <v>131.43174603174612</v>
      </c>
      <c r="G16" s="79">
        <f>Peveril!F31</f>
        <v>-82.568253968253941</v>
      </c>
      <c r="H16" s="80">
        <f>Peveril!G31</f>
        <v>3887.4317460317461</v>
      </c>
      <c r="I16" s="81">
        <f>Peveril!H31</f>
        <v>3239.5264550264546</v>
      </c>
      <c r="J16" s="81">
        <f>Peveril!I31</f>
        <v>1568</v>
      </c>
      <c r="K16" s="81">
        <f>Peveril!J31</f>
        <v>1671.5264550264551</v>
      </c>
      <c r="L16" s="81"/>
      <c r="M16" s="179">
        <v>3756</v>
      </c>
      <c r="N16" s="79">
        <f>Peveril!L31</f>
        <v>252</v>
      </c>
      <c r="O16" s="80">
        <f>Peveril!M31</f>
        <v>3970</v>
      </c>
      <c r="P16" s="81">
        <f>Peveril!N31</f>
        <v>3308.3333333333335</v>
      </c>
      <c r="Q16" s="81">
        <f>Peveril!O31</f>
        <v>2032.45</v>
      </c>
      <c r="R16" s="81">
        <f>Peveril!P31</f>
        <v>1275.8833333333334</v>
      </c>
      <c r="S16" s="81"/>
      <c r="T16" s="80">
        <f>Peveril!R31</f>
        <v>3718</v>
      </c>
      <c r="U16" s="81">
        <f>Peveril!S31</f>
        <v>3098.3333333333335</v>
      </c>
      <c r="V16" s="81">
        <f>Peveril!T31</f>
        <v>2726.95</v>
      </c>
      <c r="W16" s="81">
        <f>Peveril!U31</f>
        <v>-276.63000000000005</v>
      </c>
      <c r="X16" s="81"/>
      <c r="Y16" s="156">
        <f>Peveril!W31</f>
        <v>33911.804656084656</v>
      </c>
      <c r="Z16" s="156">
        <f t="shared" si="1"/>
        <v>33911.804656084656</v>
      </c>
      <c r="AA16" s="156">
        <f t="shared" si="2"/>
        <v>0</v>
      </c>
    </row>
    <row r="17" spans="1:27" ht="15.75" x14ac:dyDescent="0.2">
      <c r="A17" s="180" t="s">
        <v>60</v>
      </c>
      <c r="C17" s="79">
        <f>'Sheaf 1'!C33</f>
        <v>420.06904761904752</v>
      </c>
      <c r="D17" s="80">
        <f>'Sheaf 1'!D33</f>
        <v>6224.5</v>
      </c>
      <c r="F17" s="161">
        <f t="shared" si="0"/>
        <v>160.43095238095248</v>
      </c>
      <c r="G17" s="79">
        <f>'Sheaf 1'!F33</f>
        <v>-1415.5690476190478</v>
      </c>
      <c r="H17" s="80">
        <f>'Sheaf 1'!G33</f>
        <v>5804.4309523809525</v>
      </c>
      <c r="I17" s="81">
        <f>'Sheaf 1'!H33</f>
        <v>4837.0257936507933</v>
      </c>
      <c r="J17" s="81">
        <f>'Sheaf 1'!I33</f>
        <v>4697</v>
      </c>
      <c r="K17" s="81">
        <f>'Sheaf 1'!J33</f>
        <v>1408.0257936507937</v>
      </c>
      <c r="L17" s="81"/>
      <c r="M17" s="179">
        <v>5644</v>
      </c>
      <c r="N17" s="79">
        <f>'Sheaf 1'!L33</f>
        <v>1632</v>
      </c>
      <c r="O17" s="80">
        <f>'Sheaf 1'!M33</f>
        <v>7220</v>
      </c>
      <c r="P17" s="81">
        <f>'Sheaf 1'!N33</f>
        <v>6016.6666666666661</v>
      </c>
      <c r="Q17" s="81">
        <f>'Sheaf 1'!O33</f>
        <v>5886.84</v>
      </c>
      <c r="R17" s="81">
        <f>'Sheaf 1'!P33</f>
        <v>129.82666666666728</v>
      </c>
      <c r="S17" s="81"/>
      <c r="T17" s="80">
        <f>'Sheaf 1'!R33</f>
        <v>5588</v>
      </c>
      <c r="U17" s="81">
        <f>'Sheaf 1'!S33</f>
        <v>4656.6666666666661</v>
      </c>
      <c r="V17" s="81">
        <f>'Sheaf 1'!T33</f>
        <v>4307.1499999999996</v>
      </c>
      <c r="W17" s="81">
        <f>'Sheaf 1'!U33</f>
        <v>349.51666666666654</v>
      </c>
      <c r="X17" s="81"/>
      <c r="Y17" s="156">
        <f>'Sheaf 1'!W33</f>
        <v>57762.149206349219</v>
      </c>
      <c r="Z17" s="156">
        <f t="shared" si="1"/>
        <v>57762.149206349219</v>
      </c>
      <c r="AA17" s="156">
        <f t="shared" si="2"/>
        <v>0</v>
      </c>
    </row>
    <row r="18" spans="1:27" ht="15.75" x14ac:dyDescent="0.2">
      <c r="A18" s="180" t="s">
        <v>61</v>
      </c>
      <c r="C18" s="79">
        <f>'Sheaf 2'!C40</f>
        <v>2062.9059537210755</v>
      </c>
      <c r="D18" s="80">
        <f>'Sheaf 2'!D40</f>
        <v>23411</v>
      </c>
      <c r="F18" s="161">
        <f t="shared" si="0"/>
        <v>1017.0940462789258</v>
      </c>
      <c r="G18" s="79">
        <f>'Sheaf 2'!F40</f>
        <v>774.69404627892482</v>
      </c>
      <c r="H18" s="80">
        <f>'Sheaf 2'!G40</f>
        <v>21348.094046278926</v>
      </c>
      <c r="I18" s="81">
        <f>'Sheaf 2'!H40</f>
        <v>17790.078371899104</v>
      </c>
      <c r="J18" s="81">
        <f>'Sheaf 2'!I40</f>
        <v>10995</v>
      </c>
      <c r="K18" s="81">
        <f>'Sheaf 2'!J40</f>
        <v>6795.0783718991042</v>
      </c>
      <c r="L18" s="81"/>
      <c r="M18" s="179">
        <v>20331</v>
      </c>
      <c r="N18" s="79">
        <f>'Sheaf 2'!L40</f>
        <v>444.39999999999981</v>
      </c>
      <c r="O18" s="80">
        <f>'Sheaf 2'!M40</f>
        <v>20573.400000000001</v>
      </c>
      <c r="P18" s="81">
        <f>'Sheaf 2'!N40</f>
        <v>17144.5</v>
      </c>
      <c r="Q18" s="81">
        <f>'Sheaf 2'!O40</f>
        <v>9791.2300000000014</v>
      </c>
      <c r="R18" s="81">
        <f>'Sheaf 2'!P40</f>
        <v>7353.2699999999986</v>
      </c>
      <c r="S18" s="81"/>
      <c r="T18" s="80">
        <f>'Sheaf 2'!R40</f>
        <v>20129</v>
      </c>
      <c r="U18" s="81">
        <f>'Sheaf 2'!S40</f>
        <v>16774.166666666664</v>
      </c>
      <c r="V18" s="81">
        <f>'Sheaf 2'!T40</f>
        <v>18249.48</v>
      </c>
      <c r="W18" s="81">
        <f>'Sheaf 2'!U40</f>
        <v>-1475.3133333333335</v>
      </c>
      <c r="X18" s="81"/>
      <c r="Y18" s="156">
        <f>'Sheaf 2'!W40</f>
        <v>192160.98412341045</v>
      </c>
      <c r="Z18" s="156">
        <f t="shared" si="1"/>
        <v>192160.98412341048</v>
      </c>
      <c r="AA18" s="156">
        <f t="shared" si="2"/>
        <v>0</v>
      </c>
    </row>
    <row r="19" spans="1:27" ht="15.75" x14ac:dyDescent="0.2">
      <c r="A19" s="180" t="s">
        <v>62</v>
      </c>
      <c r="C19" s="79">
        <f>'Sheaf 3 Apts'!C29</f>
        <v>35.598095238095212</v>
      </c>
      <c r="D19" s="80">
        <f>'Sheaf 3 Apts'!D29</f>
        <v>2012</v>
      </c>
      <c r="F19" s="161">
        <f t="shared" si="0"/>
        <v>215.40190476190469</v>
      </c>
      <c r="G19" s="79">
        <f>'Sheaf 3 Apts'!F29</f>
        <v>56.401904761904802</v>
      </c>
      <c r="H19" s="80">
        <f>'Sheaf 3 Apts'!G29</f>
        <v>1976.4019047619047</v>
      </c>
      <c r="I19" s="81">
        <f>'Sheaf 3 Apts'!H29</f>
        <v>1647.0015873015873</v>
      </c>
      <c r="J19" s="81">
        <f>'Sheaf 3 Apts'!I29</f>
        <v>1732</v>
      </c>
      <c r="K19" s="81">
        <f>'Sheaf 3 Apts'!J29</f>
        <v>-84.998412698412608</v>
      </c>
      <c r="L19" s="81"/>
      <c r="M19" s="179">
        <v>1761</v>
      </c>
      <c r="N19" s="79">
        <f>'Sheaf 3 Apts'!L29</f>
        <v>177</v>
      </c>
      <c r="O19" s="80">
        <f>'Sheaf 3 Apts'!M29</f>
        <v>1920</v>
      </c>
      <c r="P19" s="81">
        <f>'Sheaf 3 Apts'!N29</f>
        <v>1600</v>
      </c>
      <c r="Q19" s="81">
        <f>'Sheaf 3 Apts'!O29</f>
        <v>1689.55</v>
      </c>
      <c r="R19" s="81">
        <f>'Sheaf 3 Apts'!P29</f>
        <v>-89.550000000000068</v>
      </c>
      <c r="S19" s="81"/>
      <c r="T19" s="80">
        <f>'Sheaf 3 Apts'!R29</f>
        <v>1743</v>
      </c>
      <c r="U19" s="81">
        <f>'Sheaf 3 Apts'!S29</f>
        <v>1452.5</v>
      </c>
      <c r="V19" s="81">
        <f>'Sheaf 3 Apts'!T29</f>
        <v>1138</v>
      </c>
      <c r="W19" s="81">
        <f>'Sheaf 3 Apts'!U29</f>
        <v>314.50000000000011</v>
      </c>
      <c r="X19" s="81"/>
      <c r="Y19" s="156">
        <f>'Sheaf 3 Apts'!W29</f>
        <v>17319.405079365079</v>
      </c>
      <c r="Z19" s="156">
        <f t="shared" si="1"/>
        <v>17319.405079365079</v>
      </c>
      <c r="AA19" s="156">
        <f t="shared" si="2"/>
        <v>0</v>
      </c>
    </row>
    <row r="20" spans="1:27" ht="15.75" x14ac:dyDescent="0.2">
      <c r="A20" s="178" t="s">
        <v>63</v>
      </c>
      <c r="C20" s="79">
        <f>'Sheaf 3 Building'!C15</f>
        <v>-435</v>
      </c>
      <c r="D20" s="80">
        <f>'Sheaf 3 Building'!D15</f>
        <v>2905</v>
      </c>
      <c r="F20" s="161">
        <f t="shared" si="0"/>
        <v>-34</v>
      </c>
      <c r="G20" s="79">
        <f>'Sheaf 3 Building'!F15</f>
        <v>0</v>
      </c>
      <c r="H20" s="80">
        <f>'Sheaf 3 Building'!G15</f>
        <v>3340</v>
      </c>
      <c r="I20" s="81">
        <f>'Sheaf 3 Building'!H15</f>
        <v>2783.333333333333</v>
      </c>
      <c r="J20" s="81">
        <f>'Sheaf 3 Building'!I15</f>
        <v>0</v>
      </c>
      <c r="K20" s="81">
        <f>'Sheaf 3 Building'!J15</f>
        <v>2783.333333333333</v>
      </c>
      <c r="L20" s="81"/>
      <c r="M20" s="179">
        <v>3374</v>
      </c>
      <c r="N20" s="79">
        <f>'Sheaf 3 Building'!L15</f>
        <v>0</v>
      </c>
      <c r="O20" s="80">
        <f>'Sheaf 3 Building'!M15</f>
        <v>3340</v>
      </c>
      <c r="P20" s="81">
        <f>'Sheaf 3 Building'!N15</f>
        <v>2783.333333333333</v>
      </c>
      <c r="Q20" s="81">
        <f>'Sheaf 3 Building'!O15</f>
        <v>0</v>
      </c>
      <c r="R20" s="81">
        <f>'Sheaf 3 Building'!P15</f>
        <v>2783.333333333333</v>
      </c>
      <c r="S20" s="81"/>
      <c r="T20" s="80">
        <f>'Sheaf 3 Building'!R15</f>
        <v>3340</v>
      </c>
      <c r="U20" s="81">
        <f>'Sheaf 3 Building'!S15</f>
        <v>2783.333333333333</v>
      </c>
      <c r="V20" s="81">
        <f>'Sheaf 3 Building'!T15</f>
        <v>2175</v>
      </c>
      <c r="W20" s="81">
        <f>'Sheaf 3 Building'!U15</f>
        <v>608.33333333333314</v>
      </c>
      <c r="X20" s="81"/>
      <c r="Y20" s="156">
        <f>'Sheaf 3 Building'!W15</f>
        <v>29189.999999999993</v>
      </c>
      <c r="Z20" s="156">
        <f t="shared" si="1"/>
        <v>29189.999999999993</v>
      </c>
      <c r="AA20" s="156">
        <f t="shared" si="2"/>
        <v>0</v>
      </c>
    </row>
    <row r="21" spans="1:27" ht="15.75" x14ac:dyDescent="0.2">
      <c r="A21" s="178" t="s">
        <v>64</v>
      </c>
      <c r="C21" s="79">
        <f>Victoria!C31</f>
        <v>71.508095238095223</v>
      </c>
      <c r="D21" s="80">
        <f>Victoria!D31</f>
        <v>2685</v>
      </c>
      <c r="F21" s="161">
        <f t="shared" si="0"/>
        <v>-142.50809523809494</v>
      </c>
      <c r="G21" s="79">
        <f>Victoria!F31</f>
        <v>-661.50809523809517</v>
      </c>
      <c r="H21" s="80">
        <f>Victoria!G31</f>
        <v>2613.4919047619051</v>
      </c>
      <c r="I21" s="81">
        <f>Victoria!H31</f>
        <v>2177.9099206349206</v>
      </c>
      <c r="J21" s="81">
        <f>Victoria!I31</f>
        <v>1724</v>
      </c>
      <c r="K21" s="81">
        <f>Victoria!J31</f>
        <v>453.90992063492052</v>
      </c>
      <c r="L21" s="81"/>
      <c r="M21" s="179">
        <v>2756</v>
      </c>
      <c r="N21" s="79">
        <f>Victoria!L31</f>
        <v>547</v>
      </c>
      <c r="O21" s="80">
        <f>Victoria!M31</f>
        <v>3275</v>
      </c>
      <c r="P21" s="81">
        <f>Victoria!N31</f>
        <v>2729.166666666667</v>
      </c>
      <c r="Q21" s="81">
        <f>Victoria!O31</f>
        <v>1409.9099999999999</v>
      </c>
      <c r="R21" s="81">
        <f>Victoria!P31</f>
        <v>1319.2566666666667</v>
      </c>
      <c r="S21" s="81"/>
      <c r="T21" s="80">
        <f>Victoria!R31</f>
        <v>2728</v>
      </c>
      <c r="U21" s="81">
        <f>Victoria!S31</f>
        <v>2273.333333333333</v>
      </c>
      <c r="V21" s="81">
        <f>Victoria!T31</f>
        <v>1874.1999999999998</v>
      </c>
      <c r="W21" s="81">
        <f>Victoria!U31</f>
        <v>399.13333333333338</v>
      </c>
      <c r="X21" s="81"/>
      <c r="Y21" s="156">
        <f>Victoria!W31</f>
        <v>25619.311746031748</v>
      </c>
      <c r="Z21" s="156">
        <f t="shared" si="1"/>
        <v>25619.311746031748</v>
      </c>
      <c r="AA21" s="156">
        <f t="shared" si="2"/>
        <v>0</v>
      </c>
    </row>
    <row r="22" spans="1:27" x14ac:dyDescent="0.2">
      <c r="C22" s="79"/>
      <c r="F22" s="21"/>
      <c r="G22" s="79"/>
      <c r="H22" s="80"/>
      <c r="I22" s="81"/>
      <c r="J22" s="81"/>
      <c r="K22" s="81"/>
      <c r="L22" s="81"/>
      <c r="M22" s="21"/>
      <c r="N22" s="79"/>
      <c r="O22" s="80"/>
      <c r="P22" s="81"/>
      <c r="Q22" s="81"/>
      <c r="R22" s="81"/>
      <c r="S22" s="81"/>
      <c r="T22" s="80"/>
      <c r="U22" s="81"/>
      <c r="V22" s="81"/>
      <c r="W22" s="81"/>
      <c r="X22" s="81"/>
      <c r="Y22" s="81"/>
      <c r="Z22" s="81"/>
      <c r="AA22" s="81"/>
    </row>
    <row r="23" spans="1:27" ht="16.5" thickBot="1" x14ac:dyDescent="0.25">
      <c r="A23" s="181" t="s">
        <v>1</v>
      </c>
      <c r="C23" s="65">
        <f>SUM(C7:C22)</f>
        <v>3894.1699999999996</v>
      </c>
      <c r="D23" s="66">
        <f>SUM(D7:D22)</f>
        <v>318074.42</v>
      </c>
      <c r="F23" s="162">
        <f>SUM(F7:F22)</f>
        <v>22124.375238095206</v>
      </c>
      <c r="G23" s="65">
        <f>SUM(G7:G22)</f>
        <v>10800.849999999997</v>
      </c>
      <c r="H23" s="66">
        <f>SUM(H7:H22)</f>
        <v>308527.37523809524</v>
      </c>
      <c r="I23" s="68">
        <f t="shared" ref="I23:K23" si="3">SUM(I7:I22)</f>
        <v>260898.54166666669</v>
      </c>
      <c r="J23" s="68">
        <f t="shared" si="3"/>
        <v>219011</v>
      </c>
      <c r="K23" s="68">
        <f t="shared" si="3"/>
        <v>41016.208333333328</v>
      </c>
      <c r="L23" s="67"/>
      <c r="M23" s="162">
        <f t="shared" ref="M23:R23" si="4">SUM(M7:M22)</f>
        <v>286403</v>
      </c>
      <c r="N23" s="65">
        <f t="shared" si="4"/>
        <v>18968.400000000001</v>
      </c>
      <c r="O23" s="66">
        <f t="shared" si="4"/>
        <v>302529.40000000002</v>
      </c>
      <c r="P23" s="68">
        <f t="shared" si="4"/>
        <v>252107.83333333334</v>
      </c>
      <c r="Q23" s="68">
        <f t="shared" si="4"/>
        <v>190695.06300000002</v>
      </c>
      <c r="R23" s="68">
        <f t="shared" si="4"/>
        <v>57104.436999999998</v>
      </c>
      <c r="S23" s="67"/>
      <c r="T23" s="69">
        <f>SUM(T7:T22)</f>
        <v>283561</v>
      </c>
      <c r="U23" s="68">
        <f>SUM(U7:U22)</f>
        <v>236301.16666666663</v>
      </c>
      <c r="V23" s="68">
        <f>SUM(V7:V22)</f>
        <v>268117.76000000001</v>
      </c>
      <c r="W23" s="68">
        <f>SUM(W7:W22)</f>
        <v>-32464.606666666656</v>
      </c>
      <c r="X23" s="81"/>
      <c r="Y23" s="81"/>
      <c r="Z23" s="81"/>
      <c r="AA23" s="81"/>
    </row>
    <row r="24" spans="1:27" x14ac:dyDescent="0.2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264"/>
      <c r="N24" s="13"/>
      <c r="O24" s="13"/>
      <c r="P24" s="13"/>
      <c r="Q24" s="13"/>
      <c r="R24" s="13"/>
      <c r="S24" s="13"/>
      <c r="T24" s="13"/>
      <c r="U24" s="13"/>
      <c r="V24" s="13"/>
      <c r="W24" s="13"/>
    </row>
    <row r="25" spans="1:27" x14ac:dyDescent="0.2">
      <c r="A25" s="5" t="s">
        <v>266</v>
      </c>
      <c r="C25" s="365">
        <v>1.7000000000000001E-2</v>
      </c>
      <c r="F25" s="347" t="s">
        <v>178</v>
      </c>
      <c r="N25" s="296"/>
      <c r="O25" s="296"/>
      <c r="P25" s="296"/>
      <c r="Q25" s="296"/>
      <c r="R25" s="296"/>
      <c r="S25" s="296"/>
      <c r="T25" s="296"/>
      <c r="U25" s="296"/>
      <c r="V25" s="296"/>
      <c r="W25" s="296"/>
      <c r="X25" s="296"/>
      <c r="Y25" s="296"/>
      <c r="Z25" s="296"/>
    </row>
    <row r="26" spans="1:27" x14ac:dyDescent="0.2">
      <c r="A26" s="300"/>
      <c r="F26" s="295" t="s">
        <v>262</v>
      </c>
      <c r="N26" s="295"/>
      <c r="O26" s="295"/>
      <c r="P26" s="295"/>
      <c r="Q26" s="295"/>
      <c r="R26" s="295"/>
      <c r="S26" s="295"/>
      <c r="T26" s="295"/>
      <c r="U26" s="295"/>
      <c r="V26" s="295"/>
      <c r="W26" s="295"/>
      <c r="X26" s="295"/>
      <c r="Y26" s="295"/>
      <c r="Z26" s="295"/>
    </row>
    <row r="27" spans="1:27" x14ac:dyDescent="0.2">
      <c r="F27" s="295" t="s">
        <v>263</v>
      </c>
      <c r="N27" s="295"/>
      <c r="O27" s="295"/>
      <c r="P27" s="295"/>
      <c r="Q27" s="295"/>
      <c r="R27" s="295"/>
      <c r="S27" s="295"/>
      <c r="T27" s="295"/>
      <c r="U27" s="295"/>
      <c r="V27" s="295"/>
      <c r="W27" s="295"/>
      <c r="X27" s="295"/>
      <c r="Y27" s="295"/>
      <c r="Z27" s="295"/>
    </row>
    <row r="31" spans="1:27" x14ac:dyDescent="0.2">
      <c r="G31" s="288"/>
      <c r="H31" s="100"/>
      <c r="I31" s="100"/>
      <c r="J31" s="100"/>
      <c r="K31" s="100"/>
      <c r="L31" s="265"/>
    </row>
    <row r="32" spans="1:27" x14ac:dyDescent="0.2">
      <c r="G32" s="288"/>
      <c r="H32" s="100"/>
      <c r="I32" s="100"/>
      <c r="J32" s="100"/>
      <c r="K32" s="100"/>
      <c r="L32" s="265"/>
    </row>
    <row r="33" spans="8:12" x14ac:dyDescent="0.2">
      <c r="H33" s="265"/>
      <c r="I33" s="265"/>
      <c r="J33" s="265"/>
      <c r="K33" s="265"/>
      <c r="L33" s="265"/>
    </row>
  </sheetData>
  <mergeCells count="16">
    <mergeCell ref="C4:C5"/>
    <mergeCell ref="D4:D5"/>
    <mergeCell ref="C3:D3"/>
    <mergeCell ref="T3:W3"/>
    <mergeCell ref="G4:G5"/>
    <mergeCell ref="N4:N5"/>
    <mergeCell ref="O4:P4"/>
    <mergeCell ref="T4:U4"/>
    <mergeCell ref="P5:R5"/>
    <mergeCell ref="U5:W5"/>
    <mergeCell ref="H4:I4"/>
    <mergeCell ref="I5:K5"/>
    <mergeCell ref="F3:K3"/>
    <mergeCell ref="M3:R3"/>
    <mergeCell ref="M4:M5"/>
    <mergeCell ref="F4:F5"/>
  </mergeCells>
  <phoneticPr fontId="22" type="noConversion"/>
  <pageMargins left="0.70866141732283472" right="0.70866141732283472" top="0.74803149606299213" bottom="0.15748031496062992" header="0.31496062992125984" footer="0.31496062992125984"/>
  <pageSetup paperSize="9" scale="56" fitToHeight="0" orientation="landscape" horizontalDpi="4294967293" r:id="rId1"/>
  <headerFooter>
    <firstFooter>&amp;C5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F107"/>
  <sheetViews>
    <sheetView showGridLines="0" zoomScale="80" zoomScaleNormal="80" workbookViewId="0">
      <pane ySplit="5" topLeftCell="A60" activePane="bottomLeft" state="frozen"/>
      <selection activeCell="A2" sqref="A2:XFD2"/>
      <selection pane="bottomLeft" activeCell="C102" sqref="C102"/>
    </sheetView>
  </sheetViews>
  <sheetFormatPr defaultColWidth="9.140625" defaultRowHeight="15" x14ac:dyDescent="0.2"/>
  <cols>
    <col min="1" max="1" width="65.7109375" style="198" customWidth="1"/>
    <col min="2" max="2" width="2.7109375" style="226" customWidth="1"/>
    <col min="3" max="3" width="11.7109375" style="226" customWidth="1"/>
    <col min="4" max="4" width="11.7109375" style="303" customWidth="1"/>
    <col min="5" max="5" width="2.7109375" style="303" customWidth="1"/>
    <col min="6" max="8" width="11.7109375" style="303" customWidth="1"/>
    <col min="9" max="10" width="11.7109375" style="198" customWidth="1"/>
    <col min="11" max="11" width="2.7109375" style="295" customWidth="1"/>
    <col min="12" max="16" width="11.7109375" style="198" customWidth="1"/>
    <col min="17" max="17" width="2.7109375" style="198" customWidth="1"/>
    <col min="18" max="21" width="11.7109375" style="198" customWidth="1"/>
    <col min="22" max="22" width="2.7109375" style="198" customWidth="1"/>
    <col min="23" max="23" width="14.140625" style="198" customWidth="1"/>
    <col min="24" max="16384" width="9.140625" style="198"/>
  </cols>
  <sheetData>
    <row r="1" spans="1:25" ht="18.75" x14ac:dyDescent="0.2">
      <c r="A1" s="53" t="s">
        <v>126</v>
      </c>
      <c r="B1" s="54"/>
      <c r="C1" s="54"/>
      <c r="D1" s="301"/>
      <c r="E1" s="301"/>
      <c r="F1" s="301"/>
      <c r="G1" s="301"/>
      <c r="H1" s="301"/>
      <c r="I1" s="55"/>
      <c r="J1" s="55"/>
      <c r="K1" s="55"/>
      <c r="L1" s="55"/>
      <c r="M1" s="54"/>
    </row>
    <row r="2" spans="1:25" s="295" customFormat="1" x14ac:dyDescent="0.2">
      <c r="B2" s="55"/>
      <c r="C2" s="55"/>
      <c r="D2" s="302"/>
      <c r="E2" s="302"/>
      <c r="F2" s="302"/>
      <c r="G2" s="302"/>
      <c r="H2" s="302"/>
      <c r="I2" s="55"/>
      <c r="J2" s="55"/>
      <c r="K2" s="55"/>
      <c r="L2" s="55"/>
      <c r="M2" s="54"/>
    </row>
    <row r="3" spans="1:25" s="14" customFormat="1" ht="21" x14ac:dyDescent="0.2">
      <c r="A3" s="56" t="s">
        <v>264</v>
      </c>
      <c r="B3" s="334"/>
      <c r="C3" s="403">
        <v>2020</v>
      </c>
      <c r="D3" s="404"/>
      <c r="E3" s="335"/>
      <c r="F3" s="403">
        <v>2019</v>
      </c>
      <c r="G3" s="405"/>
      <c r="H3" s="410"/>
      <c r="I3" s="410"/>
      <c r="J3" s="411"/>
      <c r="K3" s="335"/>
      <c r="L3" s="403">
        <v>2018</v>
      </c>
      <c r="M3" s="423"/>
      <c r="N3" s="423"/>
      <c r="O3" s="423"/>
      <c r="P3" s="424"/>
      <c r="Q3" s="334"/>
      <c r="R3" s="403">
        <v>2017</v>
      </c>
      <c r="S3" s="405"/>
      <c r="T3" s="405"/>
      <c r="U3" s="404"/>
      <c r="V3" s="335"/>
      <c r="W3" s="337" t="s">
        <v>98</v>
      </c>
    </row>
    <row r="4" spans="1:25" x14ac:dyDescent="0.2">
      <c r="A4" s="23"/>
      <c r="B4" s="23"/>
      <c r="C4" s="417" t="s">
        <v>261</v>
      </c>
      <c r="D4" s="401" t="s">
        <v>44</v>
      </c>
      <c r="E4" s="290"/>
      <c r="F4" s="417" t="s">
        <v>165</v>
      </c>
      <c r="G4" s="419" t="s">
        <v>163</v>
      </c>
      <c r="H4" s="419"/>
      <c r="I4" s="292" t="s">
        <v>118</v>
      </c>
      <c r="J4" s="292" t="s">
        <v>97</v>
      </c>
      <c r="K4" s="292"/>
      <c r="L4" s="420" t="s">
        <v>164</v>
      </c>
      <c r="M4" s="409" t="s">
        <v>163</v>
      </c>
      <c r="N4" s="409"/>
      <c r="O4" s="196" t="s">
        <v>118</v>
      </c>
      <c r="P4" s="196" t="s">
        <v>97</v>
      </c>
      <c r="Q4" s="23"/>
      <c r="R4" s="409" t="s">
        <v>163</v>
      </c>
      <c r="S4" s="422"/>
      <c r="T4" s="196" t="s">
        <v>118</v>
      </c>
      <c r="U4" s="196" t="s">
        <v>97</v>
      </c>
      <c r="V4" s="196"/>
      <c r="W4" s="25"/>
    </row>
    <row r="5" spans="1:25" x14ac:dyDescent="0.2">
      <c r="A5" s="23"/>
      <c r="B5" s="23"/>
      <c r="C5" s="418"/>
      <c r="D5" s="402"/>
      <c r="E5" s="291"/>
      <c r="F5" s="418"/>
      <c r="G5" s="26" t="s">
        <v>161</v>
      </c>
      <c r="H5" s="409" t="s">
        <v>162</v>
      </c>
      <c r="I5" s="408"/>
      <c r="J5" s="408"/>
      <c r="K5" s="293"/>
      <c r="L5" s="421"/>
      <c r="M5" s="26" t="s">
        <v>161</v>
      </c>
      <c r="N5" s="409" t="s">
        <v>162</v>
      </c>
      <c r="O5" s="408"/>
      <c r="P5" s="408"/>
      <c r="Q5" s="23"/>
      <c r="R5" s="26" t="s">
        <v>161</v>
      </c>
      <c r="S5" s="409" t="s">
        <v>162</v>
      </c>
      <c r="T5" s="408"/>
      <c r="U5" s="408"/>
      <c r="V5" s="196"/>
      <c r="W5" s="25"/>
    </row>
    <row r="6" spans="1:25" x14ac:dyDescent="0.2">
      <c r="F6" s="227"/>
      <c r="G6" s="80"/>
      <c r="J6" s="81"/>
      <c r="K6" s="81"/>
      <c r="L6" s="81"/>
      <c r="M6" s="80"/>
      <c r="N6" s="81"/>
      <c r="O6" s="81"/>
      <c r="P6" s="81"/>
      <c r="Q6" s="81"/>
      <c r="R6" s="80"/>
      <c r="S6" s="81"/>
      <c r="T6" s="81"/>
      <c r="U6" s="81"/>
    </row>
    <row r="7" spans="1:25" x14ac:dyDescent="0.2">
      <c r="A7" s="4" t="s">
        <v>4</v>
      </c>
      <c r="C7" s="227"/>
      <c r="F7" s="227"/>
      <c r="G7" s="80"/>
      <c r="J7" s="81"/>
      <c r="K7" s="81"/>
      <c r="L7" s="81"/>
      <c r="M7" s="80"/>
      <c r="N7" s="81"/>
      <c r="O7" s="81"/>
      <c r="P7" s="81"/>
      <c r="Q7" s="81"/>
      <c r="R7" s="80"/>
      <c r="S7" s="81"/>
      <c r="T7" s="81"/>
      <c r="U7" s="81"/>
    </row>
    <row r="8" spans="1:25" ht="15.75" x14ac:dyDescent="0.2">
      <c r="A8" s="3" t="s">
        <v>102</v>
      </c>
      <c r="C8" s="59">
        <f t="shared" ref="C8:C13" si="0">D8-G8</f>
        <v>7873.9199999999983</v>
      </c>
      <c r="D8" s="330">
        <v>91073.919999999998</v>
      </c>
      <c r="F8" s="59">
        <f t="shared" ref="F8:F13" si="1">G8-M8</f>
        <v>9730</v>
      </c>
      <c r="G8" s="80">
        <v>83200</v>
      </c>
      <c r="H8" s="86">
        <f>G8/12*10</f>
        <v>69333.333333333328</v>
      </c>
      <c r="I8" s="333">
        <v>63553</v>
      </c>
      <c r="J8" s="86">
        <f t="shared" ref="J8:J13" si="2">H8-I8</f>
        <v>5780.3333333333285</v>
      </c>
      <c r="K8" s="81"/>
      <c r="L8" s="61">
        <f t="shared" ref="L8:L13" si="3">M8-R8</f>
        <v>11670</v>
      </c>
      <c r="M8" s="80">
        <v>73470</v>
      </c>
      <c r="N8" s="86">
        <f>M8/12*10</f>
        <v>61225</v>
      </c>
      <c r="O8" s="81">
        <v>61444.07</v>
      </c>
      <c r="P8" s="86">
        <f t="shared" ref="P8:P13" si="4">N8-O8</f>
        <v>-219.06999999999971</v>
      </c>
      <c r="Q8" s="81"/>
      <c r="R8" s="228">
        <v>61800</v>
      </c>
      <c r="S8" s="60">
        <f t="shared" ref="S8:S13" si="5">R8/12*10</f>
        <v>51500</v>
      </c>
      <c r="T8" s="63">
        <v>57403</v>
      </c>
      <c r="U8" s="63">
        <f t="shared" ref="U8:U13" si="6">S8-T8</f>
        <v>-5903</v>
      </c>
      <c r="W8" s="19"/>
    </row>
    <row r="9" spans="1:25" ht="15.75" x14ac:dyDescent="0.2">
      <c r="A9" s="229" t="s">
        <v>78</v>
      </c>
      <c r="C9" s="59">
        <f t="shared" si="0"/>
        <v>-400</v>
      </c>
      <c r="D9" s="330">
        <v>600</v>
      </c>
      <c r="F9" s="59">
        <f t="shared" si="1"/>
        <v>-1000</v>
      </c>
      <c r="G9" s="80">
        <v>1000</v>
      </c>
      <c r="H9" s="86">
        <f t="shared" ref="H9:H13" si="7">G9/12*10</f>
        <v>833.33333333333326</v>
      </c>
      <c r="I9" s="333">
        <v>331</v>
      </c>
      <c r="J9" s="86">
        <f t="shared" si="2"/>
        <v>502.33333333333326</v>
      </c>
      <c r="K9" s="81"/>
      <c r="L9" s="61">
        <f t="shared" si="3"/>
        <v>600</v>
      </c>
      <c r="M9" s="80">
        <v>2000</v>
      </c>
      <c r="N9" s="86">
        <f t="shared" ref="N9:N13" si="8">M9/12*10</f>
        <v>1666.6666666666665</v>
      </c>
      <c r="O9" s="81">
        <v>-7.2</v>
      </c>
      <c r="P9" s="86">
        <f t="shared" si="4"/>
        <v>1673.8666666666666</v>
      </c>
      <c r="Q9" s="81"/>
      <c r="R9" s="80">
        <v>1400</v>
      </c>
      <c r="S9" s="60">
        <f t="shared" si="5"/>
        <v>1166.6666666666667</v>
      </c>
      <c r="T9" s="63">
        <v>1068</v>
      </c>
      <c r="U9" s="63">
        <f t="shared" si="6"/>
        <v>98.666666666666742</v>
      </c>
      <c r="W9" s="198" t="s">
        <v>105</v>
      </c>
    </row>
    <row r="10" spans="1:25" ht="15.75" x14ac:dyDescent="0.2">
      <c r="A10" s="229" t="s">
        <v>77</v>
      </c>
      <c r="C10" s="59">
        <f t="shared" si="0"/>
        <v>-500</v>
      </c>
      <c r="D10" s="330">
        <v>0</v>
      </c>
      <c r="F10" s="59">
        <f t="shared" si="1"/>
        <v>0</v>
      </c>
      <c r="G10" s="80">
        <v>500</v>
      </c>
      <c r="H10" s="86">
        <f t="shared" si="7"/>
        <v>416.66666666666663</v>
      </c>
      <c r="I10" s="333">
        <v>0</v>
      </c>
      <c r="J10" s="86">
        <f t="shared" si="2"/>
        <v>416.66666666666663</v>
      </c>
      <c r="K10" s="81"/>
      <c r="L10" s="61">
        <f t="shared" si="3"/>
        <v>0</v>
      </c>
      <c r="M10" s="80">
        <v>500</v>
      </c>
      <c r="N10" s="86">
        <f t="shared" si="8"/>
        <v>416.66666666666663</v>
      </c>
      <c r="O10" s="81">
        <v>60</v>
      </c>
      <c r="P10" s="86">
        <f t="shared" si="4"/>
        <v>356.66666666666663</v>
      </c>
      <c r="Q10" s="81"/>
      <c r="R10" s="80">
        <v>500</v>
      </c>
      <c r="S10" s="60">
        <f t="shared" si="5"/>
        <v>416.66666666666663</v>
      </c>
      <c r="T10" s="63">
        <v>745</v>
      </c>
      <c r="U10" s="63">
        <f t="shared" si="6"/>
        <v>-328.33333333333337</v>
      </c>
      <c r="W10" s="198" t="s">
        <v>106</v>
      </c>
      <c r="Y10" s="198" t="s">
        <v>260</v>
      </c>
    </row>
    <row r="11" spans="1:25" ht="15.75" x14ac:dyDescent="0.2">
      <c r="A11" s="229" t="s">
        <v>40</v>
      </c>
      <c r="C11" s="59">
        <f t="shared" si="0"/>
        <v>-300</v>
      </c>
      <c r="D11" s="330">
        <v>300</v>
      </c>
      <c r="F11" s="59">
        <f t="shared" si="1"/>
        <v>0</v>
      </c>
      <c r="G11" s="80">
        <v>600</v>
      </c>
      <c r="H11" s="86">
        <f t="shared" si="7"/>
        <v>500</v>
      </c>
      <c r="I11" s="333">
        <v>177</v>
      </c>
      <c r="J11" s="86">
        <f t="shared" si="2"/>
        <v>323</v>
      </c>
      <c r="K11" s="81"/>
      <c r="L11" s="61">
        <f t="shared" si="3"/>
        <v>0</v>
      </c>
      <c r="M11" s="80">
        <v>600</v>
      </c>
      <c r="N11" s="86">
        <f t="shared" si="8"/>
        <v>500</v>
      </c>
      <c r="O11" s="81">
        <v>479.28</v>
      </c>
      <c r="P11" s="86">
        <f t="shared" si="4"/>
        <v>20.720000000000027</v>
      </c>
      <c r="Q11" s="81"/>
      <c r="R11" s="80">
        <v>600</v>
      </c>
      <c r="S11" s="60">
        <f t="shared" si="5"/>
        <v>500</v>
      </c>
      <c r="T11" s="63">
        <v>350</v>
      </c>
      <c r="U11" s="63">
        <f t="shared" si="6"/>
        <v>150</v>
      </c>
      <c r="W11" s="198" t="s">
        <v>107</v>
      </c>
    </row>
    <row r="12" spans="1:25" ht="15.75" x14ac:dyDescent="0.2">
      <c r="A12" s="3" t="s">
        <v>71</v>
      </c>
      <c r="C12" s="59">
        <f t="shared" si="0"/>
        <v>0</v>
      </c>
      <c r="D12" s="330">
        <v>0</v>
      </c>
      <c r="F12" s="59">
        <f t="shared" si="1"/>
        <v>-280</v>
      </c>
      <c r="G12" s="80">
        <v>0</v>
      </c>
      <c r="H12" s="86">
        <f t="shared" si="7"/>
        <v>0</v>
      </c>
      <c r="I12" s="333">
        <v>0</v>
      </c>
      <c r="J12" s="86">
        <f t="shared" si="2"/>
        <v>0</v>
      </c>
      <c r="K12" s="81"/>
      <c r="L12" s="61">
        <f t="shared" si="3"/>
        <v>0</v>
      </c>
      <c r="M12" s="80">
        <v>280</v>
      </c>
      <c r="N12" s="86">
        <f t="shared" si="8"/>
        <v>233.33333333333331</v>
      </c>
      <c r="O12" s="81">
        <v>46.4</v>
      </c>
      <c r="P12" s="86">
        <f t="shared" si="4"/>
        <v>186.93333333333331</v>
      </c>
      <c r="Q12" s="81"/>
      <c r="R12" s="80">
        <v>280</v>
      </c>
      <c r="S12" s="60">
        <f t="shared" si="5"/>
        <v>233.33333333333331</v>
      </c>
      <c r="T12" s="63">
        <v>232</v>
      </c>
      <c r="U12" s="63">
        <f t="shared" si="6"/>
        <v>1.3333333333333144</v>
      </c>
    </row>
    <row r="13" spans="1:25" ht="15.75" x14ac:dyDescent="0.2">
      <c r="A13" s="229" t="s">
        <v>92</v>
      </c>
      <c r="C13" s="59">
        <f t="shared" si="0"/>
        <v>-70</v>
      </c>
      <c r="D13" s="330">
        <v>30</v>
      </c>
      <c r="F13" s="59">
        <f t="shared" si="1"/>
        <v>0</v>
      </c>
      <c r="G13" s="80">
        <v>100</v>
      </c>
      <c r="H13" s="86">
        <f t="shared" si="7"/>
        <v>83.333333333333343</v>
      </c>
      <c r="I13" s="333">
        <v>0</v>
      </c>
      <c r="J13" s="86">
        <f t="shared" si="2"/>
        <v>83.333333333333343</v>
      </c>
      <c r="K13" s="81"/>
      <c r="L13" s="61">
        <f t="shared" si="3"/>
        <v>100</v>
      </c>
      <c r="M13" s="80">
        <v>100</v>
      </c>
      <c r="N13" s="86">
        <f t="shared" si="8"/>
        <v>83.333333333333343</v>
      </c>
      <c r="O13" s="81">
        <v>0</v>
      </c>
      <c r="P13" s="86">
        <f t="shared" si="4"/>
        <v>83.333333333333343</v>
      </c>
      <c r="Q13" s="81"/>
      <c r="R13" s="80">
        <v>0</v>
      </c>
      <c r="S13" s="60">
        <f t="shared" si="5"/>
        <v>0</v>
      </c>
      <c r="T13" s="63">
        <v>52</v>
      </c>
      <c r="U13" s="63">
        <f t="shared" si="6"/>
        <v>-52</v>
      </c>
      <c r="W13" s="198" t="s">
        <v>343</v>
      </c>
    </row>
    <row r="14" spans="1:25" s="295" customFormat="1" ht="15.75" x14ac:dyDescent="0.2">
      <c r="A14" s="229" t="s">
        <v>282</v>
      </c>
      <c r="B14" s="226"/>
      <c r="C14" s="59"/>
      <c r="D14" s="330">
        <v>0</v>
      </c>
      <c r="E14" s="303"/>
      <c r="F14" s="59"/>
      <c r="G14" s="80"/>
      <c r="H14" s="86"/>
      <c r="I14" s="333">
        <v>0</v>
      </c>
      <c r="J14" s="86"/>
      <c r="K14" s="81"/>
      <c r="L14" s="61"/>
      <c r="M14" s="80"/>
      <c r="N14" s="86"/>
      <c r="O14" s="81"/>
      <c r="P14" s="86"/>
      <c r="Q14" s="81"/>
      <c r="R14" s="80"/>
      <c r="S14" s="60"/>
      <c r="T14" s="63"/>
      <c r="U14" s="63"/>
    </row>
    <row r="15" spans="1:25" x14ac:dyDescent="0.2">
      <c r="A15" s="198" t="s">
        <v>283</v>
      </c>
      <c r="C15" s="79"/>
      <c r="D15" s="303">
        <v>0</v>
      </c>
      <c r="F15" s="79"/>
      <c r="G15" s="80"/>
      <c r="H15" s="81"/>
      <c r="I15" s="198">
        <v>0</v>
      </c>
      <c r="J15" s="81"/>
      <c r="K15" s="81"/>
      <c r="L15" s="79"/>
      <c r="M15" s="80"/>
      <c r="N15" s="81"/>
      <c r="O15" s="81"/>
      <c r="P15" s="81"/>
      <c r="Q15" s="81"/>
      <c r="R15" s="80"/>
      <c r="S15" s="81"/>
      <c r="T15" s="81"/>
      <c r="U15" s="81"/>
    </row>
    <row r="16" spans="1:25" ht="15.75" thickBot="1" x14ac:dyDescent="0.25">
      <c r="A16" s="181" t="s">
        <v>179</v>
      </c>
      <c r="C16" s="230">
        <f t="shared" ref="C16" si="9">SUM(C7:C15)</f>
        <v>6603.9199999999983</v>
      </c>
      <c r="D16" s="101">
        <f t="shared" ref="D16" si="10">SUM(D7:D15)</f>
        <v>92003.92</v>
      </c>
      <c r="E16" s="131"/>
      <c r="F16" s="230">
        <f>SUM(F7:F15)</f>
        <v>8450</v>
      </c>
      <c r="G16" s="101">
        <f>SUM(G7:G15)</f>
        <v>85400</v>
      </c>
      <c r="H16" s="231">
        <f t="shared" ref="H16" si="11">SUM(H7:H15)</f>
        <v>71166.666666666657</v>
      </c>
      <c r="I16" s="231">
        <f t="shared" ref="I16:J16" si="12">SUM(I7:I15)</f>
        <v>64061</v>
      </c>
      <c r="J16" s="231">
        <f t="shared" si="12"/>
        <v>7105.6666666666615</v>
      </c>
      <c r="K16" s="81"/>
      <c r="L16" s="230">
        <f t="shared" ref="L16:P16" si="13">SUM(L7:L15)</f>
        <v>12370</v>
      </c>
      <c r="M16" s="101">
        <f t="shared" si="13"/>
        <v>76950</v>
      </c>
      <c r="N16" s="231">
        <f t="shared" si="13"/>
        <v>64125</v>
      </c>
      <c r="O16" s="231">
        <f t="shared" si="13"/>
        <v>62022.55</v>
      </c>
      <c r="P16" s="231">
        <f t="shared" si="13"/>
        <v>2102.4500000000003</v>
      </c>
      <c r="Q16" s="81"/>
      <c r="R16" s="101">
        <f>SUM(R7:R15)</f>
        <v>64580</v>
      </c>
      <c r="S16" s="231">
        <f t="shared" ref="S16:U16" si="14">SUM(S7:S15)</f>
        <v>53816.666666666664</v>
      </c>
      <c r="T16" s="231">
        <f t="shared" si="14"/>
        <v>59850</v>
      </c>
      <c r="U16" s="231">
        <f t="shared" si="14"/>
        <v>-6033.333333333333</v>
      </c>
    </row>
    <row r="17" spans="1:26" x14ac:dyDescent="0.2">
      <c r="A17" s="232"/>
      <c r="C17" s="233"/>
      <c r="F17" s="233"/>
      <c r="G17" s="131"/>
      <c r="H17" s="201"/>
      <c r="J17" s="201"/>
      <c r="K17" s="81"/>
      <c r="L17" s="233"/>
      <c r="M17" s="131"/>
      <c r="N17" s="201"/>
      <c r="O17" s="201"/>
      <c r="P17" s="201"/>
      <c r="Q17" s="81"/>
      <c r="R17" s="131"/>
      <c r="S17" s="201"/>
      <c r="T17" s="201"/>
      <c r="U17" s="201"/>
    </row>
    <row r="18" spans="1:26" x14ac:dyDescent="0.2">
      <c r="A18" s="6" t="s">
        <v>36</v>
      </c>
      <c r="C18" s="233"/>
      <c r="F18" s="233"/>
      <c r="G18" s="131"/>
      <c r="H18" s="201"/>
      <c r="J18" s="201"/>
      <c r="K18" s="81"/>
      <c r="L18" s="233"/>
      <c r="M18" s="131"/>
      <c r="N18" s="201"/>
      <c r="O18" s="201"/>
      <c r="P18" s="201"/>
      <c r="Q18" s="81"/>
      <c r="R18" s="131"/>
      <c r="S18" s="201"/>
      <c r="T18" s="201"/>
      <c r="U18" s="201"/>
    </row>
    <row r="19" spans="1:26" ht="15.75" x14ac:dyDescent="0.2">
      <c r="A19" s="7" t="s">
        <v>11</v>
      </c>
      <c r="C19" s="59">
        <f t="shared" ref="C19:C27" si="15">D19-G19</f>
        <v>0</v>
      </c>
      <c r="D19" s="330">
        <v>1000</v>
      </c>
      <c r="F19" s="59">
        <f t="shared" ref="F19:F27" si="16">G19-M19</f>
        <v>-1000</v>
      </c>
      <c r="G19" s="80">
        <v>1000</v>
      </c>
      <c r="H19" s="86">
        <f t="shared" ref="H19:H25" si="17">G19/12*10</f>
        <v>833.33333333333326</v>
      </c>
      <c r="I19" s="333">
        <v>2108</v>
      </c>
      <c r="J19" s="86">
        <f t="shared" ref="J19:J27" si="18">H19-I19</f>
        <v>-1274.6666666666667</v>
      </c>
      <c r="K19" s="81"/>
      <c r="L19" s="61">
        <f t="shared" ref="L19:L25" si="19">M19-R19</f>
        <v>-900</v>
      </c>
      <c r="M19" s="80">
        <v>2000</v>
      </c>
      <c r="N19" s="86">
        <f t="shared" ref="N19:N25" si="20">M19/12*10</f>
        <v>1666.6666666666665</v>
      </c>
      <c r="O19" s="81">
        <v>411.48</v>
      </c>
      <c r="P19" s="86">
        <f t="shared" ref="P19:P25" si="21">N19-O19</f>
        <v>1255.1866666666665</v>
      </c>
      <c r="Q19" s="81"/>
      <c r="R19" s="80">
        <v>2900</v>
      </c>
      <c r="S19" s="60">
        <f t="shared" ref="S19:S25" si="22">R19/12*10</f>
        <v>2416.6666666666665</v>
      </c>
      <c r="T19" s="63">
        <v>1186</v>
      </c>
      <c r="U19" s="63">
        <f t="shared" ref="U19:U25" si="23">S19-T19</f>
        <v>1230.6666666666665</v>
      </c>
      <c r="W19" s="198" t="s">
        <v>140</v>
      </c>
    </row>
    <row r="20" spans="1:26" ht="15.75" x14ac:dyDescent="0.2">
      <c r="A20" s="7" t="s">
        <v>75</v>
      </c>
      <c r="C20" s="59">
        <f t="shared" si="15"/>
        <v>0</v>
      </c>
      <c r="D20" s="330">
        <v>1500</v>
      </c>
      <c r="F20" s="59">
        <f t="shared" si="16"/>
        <v>-500</v>
      </c>
      <c r="G20" s="80">
        <v>1500</v>
      </c>
      <c r="H20" s="86">
        <f t="shared" si="17"/>
        <v>1250</v>
      </c>
      <c r="I20" s="333">
        <v>1435</v>
      </c>
      <c r="J20" s="86">
        <f t="shared" si="18"/>
        <v>-185</v>
      </c>
      <c r="K20" s="81"/>
      <c r="L20" s="61">
        <f t="shared" si="19"/>
        <v>0</v>
      </c>
      <c r="M20" s="80">
        <v>2000</v>
      </c>
      <c r="N20" s="86">
        <f t="shared" si="20"/>
        <v>1666.6666666666665</v>
      </c>
      <c r="O20" s="81">
        <v>1038.7</v>
      </c>
      <c r="P20" s="86">
        <f t="shared" si="21"/>
        <v>627.96666666666647</v>
      </c>
      <c r="Q20" s="81"/>
      <c r="R20" s="80">
        <v>2000</v>
      </c>
      <c r="S20" s="60">
        <f t="shared" si="22"/>
        <v>1666.6666666666665</v>
      </c>
      <c r="T20" s="63">
        <v>857</v>
      </c>
      <c r="U20" s="63">
        <f t="shared" si="23"/>
        <v>809.66666666666652</v>
      </c>
      <c r="W20" s="198" t="s">
        <v>111</v>
      </c>
    </row>
    <row r="21" spans="1:26" ht="15.75" x14ac:dyDescent="0.2">
      <c r="A21" s="7" t="s">
        <v>141</v>
      </c>
      <c r="C21" s="59">
        <f t="shared" si="15"/>
        <v>0</v>
      </c>
      <c r="D21" s="330">
        <v>14680</v>
      </c>
      <c r="F21" s="59">
        <f t="shared" si="16"/>
        <v>880</v>
      </c>
      <c r="G21" s="80">
        <v>14680</v>
      </c>
      <c r="H21" s="86">
        <f t="shared" si="17"/>
        <v>12233.333333333332</v>
      </c>
      <c r="I21" s="333">
        <v>13045</v>
      </c>
      <c r="J21" s="86">
        <f t="shared" si="18"/>
        <v>-811.66666666666788</v>
      </c>
      <c r="K21" s="81"/>
      <c r="L21" s="61">
        <f t="shared" si="19"/>
        <v>1200</v>
      </c>
      <c r="M21" s="80">
        <v>13800</v>
      </c>
      <c r="N21" s="86">
        <f t="shared" si="20"/>
        <v>11500</v>
      </c>
      <c r="O21" s="81">
        <v>11510.79</v>
      </c>
      <c r="P21" s="86">
        <f t="shared" si="21"/>
        <v>-10.790000000000873</v>
      </c>
      <c r="Q21" s="81"/>
      <c r="R21" s="80">
        <v>12600</v>
      </c>
      <c r="S21" s="60">
        <f t="shared" si="22"/>
        <v>10500</v>
      </c>
      <c r="T21" s="63">
        <v>11740</v>
      </c>
      <c r="U21" s="63">
        <f t="shared" si="23"/>
        <v>-1240</v>
      </c>
      <c r="W21" s="198" t="s">
        <v>319</v>
      </c>
    </row>
    <row r="22" spans="1:26" ht="15.75" x14ac:dyDescent="0.2">
      <c r="A22" s="7" t="s">
        <v>10</v>
      </c>
      <c r="C22" s="59">
        <f t="shared" si="15"/>
        <v>0</v>
      </c>
      <c r="D22" s="330">
        <v>300</v>
      </c>
      <c r="F22" s="59">
        <f t="shared" si="16"/>
        <v>0</v>
      </c>
      <c r="G22" s="80">
        <v>300</v>
      </c>
      <c r="H22" s="86">
        <f t="shared" si="17"/>
        <v>250</v>
      </c>
      <c r="I22" s="333">
        <v>2320</v>
      </c>
      <c r="J22" s="86">
        <f t="shared" si="18"/>
        <v>-2070</v>
      </c>
      <c r="K22" s="81"/>
      <c r="L22" s="61">
        <f t="shared" si="19"/>
        <v>0</v>
      </c>
      <c r="M22" s="80">
        <v>300</v>
      </c>
      <c r="N22" s="86">
        <f t="shared" si="20"/>
        <v>250</v>
      </c>
      <c r="O22" s="81">
        <v>0</v>
      </c>
      <c r="P22" s="86">
        <f t="shared" si="21"/>
        <v>250</v>
      </c>
      <c r="Q22" s="81"/>
      <c r="R22" s="80">
        <v>300</v>
      </c>
      <c r="S22" s="60">
        <f t="shared" si="22"/>
        <v>250</v>
      </c>
      <c r="T22" s="63">
        <v>320</v>
      </c>
      <c r="U22" s="63">
        <f t="shared" si="23"/>
        <v>-70</v>
      </c>
      <c r="W22" s="198" t="s">
        <v>112</v>
      </c>
      <c r="Z22" s="19"/>
    </row>
    <row r="23" spans="1:26" ht="15.75" x14ac:dyDescent="0.2">
      <c r="A23" s="243" t="s">
        <v>3</v>
      </c>
      <c r="C23" s="59">
        <f t="shared" si="15"/>
        <v>-200</v>
      </c>
      <c r="D23" s="330">
        <v>300</v>
      </c>
      <c r="F23" s="59">
        <f t="shared" si="16"/>
        <v>0</v>
      </c>
      <c r="G23" s="80">
        <v>500</v>
      </c>
      <c r="H23" s="86">
        <f t="shared" si="17"/>
        <v>416.66666666666663</v>
      </c>
      <c r="I23" s="333">
        <v>298</v>
      </c>
      <c r="J23" s="86">
        <f t="shared" si="18"/>
        <v>118.66666666666663</v>
      </c>
      <c r="K23" s="81"/>
      <c r="L23" s="61">
        <f t="shared" si="19"/>
        <v>50</v>
      </c>
      <c r="M23" s="80">
        <v>500</v>
      </c>
      <c r="N23" s="86">
        <f t="shared" si="20"/>
        <v>416.66666666666663</v>
      </c>
      <c r="O23" s="81">
        <v>298.36</v>
      </c>
      <c r="P23" s="86">
        <f t="shared" si="21"/>
        <v>118.30666666666662</v>
      </c>
      <c r="Q23" s="81"/>
      <c r="R23" s="80">
        <v>450</v>
      </c>
      <c r="S23" s="60">
        <f t="shared" si="22"/>
        <v>375</v>
      </c>
      <c r="T23" s="63">
        <v>2978</v>
      </c>
      <c r="U23" s="63">
        <f t="shared" si="23"/>
        <v>-2603</v>
      </c>
      <c r="W23" s="198" t="s">
        <v>113</v>
      </c>
    </row>
    <row r="24" spans="1:26" ht="15.75" x14ac:dyDescent="0.2">
      <c r="A24" s="243" t="s">
        <v>39</v>
      </c>
      <c r="C24" s="59">
        <f t="shared" si="15"/>
        <v>-100</v>
      </c>
      <c r="D24" s="330">
        <v>200</v>
      </c>
      <c r="F24" s="59">
        <f t="shared" si="16"/>
        <v>-1545</v>
      </c>
      <c r="G24" s="80">
        <v>300</v>
      </c>
      <c r="H24" s="86">
        <f t="shared" si="17"/>
        <v>250</v>
      </c>
      <c r="I24" s="333">
        <v>28</v>
      </c>
      <c r="J24" s="86">
        <f t="shared" si="18"/>
        <v>222</v>
      </c>
      <c r="K24" s="81"/>
      <c r="L24" s="61">
        <f t="shared" si="19"/>
        <v>1545</v>
      </c>
      <c r="M24" s="80">
        <v>1845</v>
      </c>
      <c r="N24" s="86">
        <f t="shared" si="20"/>
        <v>1537.5</v>
      </c>
      <c r="O24" s="81">
        <v>216.83</v>
      </c>
      <c r="P24" s="86">
        <f t="shared" si="21"/>
        <v>1320.67</v>
      </c>
      <c r="Q24" s="81"/>
      <c r="R24" s="80">
        <v>300</v>
      </c>
      <c r="S24" s="60">
        <f t="shared" si="22"/>
        <v>250</v>
      </c>
      <c r="T24" s="63">
        <v>248</v>
      </c>
      <c r="U24" s="63">
        <f t="shared" si="23"/>
        <v>2</v>
      </c>
    </row>
    <row r="25" spans="1:26" ht="15.75" x14ac:dyDescent="0.2">
      <c r="A25" s="243" t="s">
        <v>120</v>
      </c>
      <c r="B25" s="226" t="s">
        <v>167</v>
      </c>
      <c r="C25" s="59">
        <f t="shared" si="15"/>
        <v>2.0500000000000114</v>
      </c>
      <c r="D25" s="329">
        <v>358</v>
      </c>
      <c r="E25" s="308"/>
      <c r="F25" s="59">
        <f t="shared" si="16"/>
        <v>5.9499999999999886</v>
      </c>
      <c r="G25" s="85">
        <f>M25+(M25*$C$80)</f>
        <v>355.95</v>
      </c>
      <c r="H25" s="86">
        <f t="shared" si="17"/>
        <v>296.625</v>
      </c>
      <c r="I25" s="333">
        <v>114</v>
      </c>
      <c r="J25" s="86">
        <f t="shared" si="18"/>
        <v>182.625</v>
      </c>
      <c r="K25" s="81"/>
      <c r="L25" s="61">
        <f t="shared" si="19"/>
        <v>350</v>
      </c>
      <c r="M25" s="80">
        <v>350</v>
      </c>
      <c r="N25" s="86">
        <f t="shared" si="20"/>
        <v>291.66666666666669</v>
      </c>
      <c r="O25" s="81">
        <v>0</v>
      </c>
      <c r="P25" s="86">
        <f t="shared" si="21"/>
        <v>291.66666666666669</v>
      </c>
      <c r="Q25" s="81"/>
      <c r="R25" s="80">
        <v>0</v>
      </c>
      <c r="S25" s="60">
        <f t="shared" si="22"/>
        <v>0</v>
      </c>
      <c r="T25" s="63">
        <v>114</v>
      </c>
      <c r="U25" s="63">
        <f t="shared" si="23"/>
        <v>-114</v>
      </c>
      <c r="W25" s="198" t="s">
        <v>318</v>
      </c>
    </row>
    <row r="26" spans="1:26" s="295" customFormat="1" ht="15.75" x14ac:dyDescent="0.2">
      <c r="A26" s="243" t="s">
        <v>284</v>
      </c>
      <c r="B26" s="226"/>
      <c r="C26" s="59"/>
      <c r="D26" s="329">
        <v>50</v>
      </c>
      <c r="E26" s="308"/>
      <c r="F26" s="59"/>
      <c r="G26" s="85"/>
      <c r="H26" s="86"/>
      <c r="I26" s="333">
        <v>1092</v>
      </c>
      <c r="J26" s="86"/>
      <c r="K26" s="81"/>
      <c r="L26" s="61"/>
      <c r="M26" s="80"/>
      <c r="N26" s="86"/>
      <c r="O26" s="81"/>
      <c r="P26" s="86"/>
      <c r="Q26" s="81"/>
      <c r="R26" s="80"/>
      <c r="S26" s="60"/>
      <c r="T26" s="63"/>
      <c r="U26" s="63"/>
    </row>
    <row r="27" spans="1:26" ht="15.75" x14ac:dyDescent="0.2">
      <c r="A27" s="243" t="s">
        <v>185</v>
      </c>
      <c r="C27" s="59">
        <f t="shared" si="15"/>
        <v>0</v>
      </c>
      <c r="D27" s="330"/>
      <c r="F27" s="59">
        <f t="shared" si="16"/>
        <v>0</v>
      </c>
      <c r="G27" s="80"/>
      <c r="H27" s="86">
        <f>G27/12*10</f>
        <v>0</v>
      </c>
      <c r="I27" s="333"/>
      <c r="J27" s="86">
        <f t="shared" si="18"/>
        <v>0</v>
      </c>
      <c r="K27" s="81"/>
      <c r="L27" s="61">
        <f t="shared" ref="L27" si="24">M27-R27</f>
        <v>0</v>
      </c>
      <c r="M27" s="80"/>
      <c r="N27" s="86">
        <f>M27/12*10</f>
        <v>0</v>
      </c>
      <c r="O27" s="81"/>
      <c r="P27" s="86">
        <f t="shared" ref="P27" si="25">N27-O27</f>
        <v>0</v>
      </c>
      <c r="Q27" s="81"/>
      <c r="R27" s="80"/>
      <c r="S27" s="60">
        <f>R27/12*10</f>
        <v>0</v>
      </c>
      <c r="T27" s="63"/>
      <c r="U27" s="63">
        <f t="shared" ref="U27" si="26">S27-T27</f>
        <v>0</v>
      </c>
      <c r="W27" s="295" t="s">
        <v>317</v>
      </c>
    </row>
    <row r="28" spans="1:26" x14ac:dyDescent="0.2">
      <c r="A28" s="243"/>
      <c r="C28" s="233"/>
      <c r="F28" s="233"/>
      <c r="G28" s="80"/>
      <c r="H28" s="81"/>
      <c r="J28" s="201"/>
      <c r="K28" s="81"/>
      <c r="L28" s="79"/>
      <c r="M28" s="80"/>
      <c r="N28" s="81"/>
      <c r="O28" s="201"/>
      <c r="P28" s="201"/>
      <c r="Q28" s="81"/>
      <c r="R28" s="80"/>
      <c r="S28" s="201"/>
      <c r="T28" s="201"/>
      <c r="U28" s="201"/>
      <c r="W28" s="19"/>
    </row>
    <row r="29" spans="1:26" ht="15.75" thickBot="1" x14ac:dyDescent="0.25">
      <c r="A29" s="181" t="s">
        <v>184</v>
      </c>
      <c r="C29" s="230">
        <f>SUM(C18:C28)</f>
        <v>-297.95</v>
      </c>
      <c r="D29" s="101">
        <f>SUM(D18:D28)</f>
        <v>18388</v>
      </c>
      <c r="E29" s="131"/>
      <c r="F29" s="230">
        <f>SUM(F18:F28)</f>
        <v>-2159.0500000000002</v>
      </c>
      <c r="G29" s="101">
        <f>SUM(G18:G28)</f>
        <v>18635.95</v>
      </c>
      <c r="H29" s="231">
        <f>SUM(H18:H28)</f>
        <v>15529.95833333333</v>
      </c>
      <c r="I29" s="231">
        <f>SUM(I18:I28)</f>
        <v>20440</v>
      </c>
      <c r="J29" s="231">
        <f>SUM(J18:J28)</f>
        <v>-3818.0416666666679</v>
      </c>
      <c r="K29" s="81"/>
      <c r="L29" s="230">
        <f>SUM(L18:L28)</f>
        <v>2245</v>
      </c>
      <c r="M29" s="101">
        <f>SUM(M18:M28)</f>
        <v>20795</v>
      </c>
      <c r="N29" s="231">
        <f>SUM(N18:N28)</f>
        <v>17329.166666666668</v>
      </c>
      <c r="O29" s="231">
        <f>SUM(O18:O28)</f>
        <v>13476.160000000002</v>
      </c>
      <c r="P29" s="231">
        <f>SUM(P18:P28)</f>
        <v>3853.0066666666648</v>
      </c>
      <c r="Q29" s="81"/>
      <c r="R29" s="101">
        <f>SUM(R18:R28)</f>
        <v>18550</v>
      </c>
      <c r="S29" s="231">
        <f>SUM(S18:S28)</f>
        <v>15458.333333333332</v>
      </c>
      <c r="T29" s="231">
        <f>SUM(T18:T28)</f>
        <v>17443</v>
      </c>
      <c r="U29" s="231">
        <f>SUM(U18:U28)</f>
        <v>-1984.666666666667</v>
      </c>
    </row>
    <row r="30" spans="1:26" x14ac:dyDescent="0.2">
      <c r="A30" s="232"/>
      <c r="C30" s="233"/>
      <c r="F30" s="233"/>
      <c r="G30" s="80"/>
      <c r="H30" s="81"/>
      <c r="J30" s="201"/>
      <c r="K30" s="81"/>
      <c r="L30" s="233"/>
      <c r="M30" s="80"/>
      <c r="N30" s="81"/>
      <c r="O30" s="201"/>
      <c r="P30" s="201"/>
      <c r="Q30" s="81"/>
      <c r="R30" s="80"/>
      <c r="S30" s="201"/>
      <c r="T30" s="201"/>
      <c r="U30" s="201"/>
    </row>
    <row r="31" spans="1:26" x14ac:dyDescent="0.2">
      <c r="A31" s="6" t="s">
        <v>67</v>
      </c>
      <c r="C31" s="233"/>
      <c r="F31" s="233"/>
      <c r="G31" s="80"/>
      <c r="H31" s="81"/>
      <c r="J31" s="201"/>
      <c r="K31" s="81"/>
      <c r="L31" s="79"/>
      <c r="M31" s="80"/>
      <c r="N31" s="81"/>
      <c r="O31" s="81"/>
      <c r="P31" s="201"/>
      <c r="Q31" s="81"/>
      <c r="R31" s="80"/>
      <c r="S31" s="201"/>
      <c r="T31" s="201"/>
      <c r="U31" s="201"/>
    </row>
    <row r="32" spans="1:26" ht="15.75" x14ac:dyDescent="0.2">
      <c r="A32" s="7" t="s">
        <v>66</v>
      </c>
      <c r="C32" s="59">
        <f>D32-G32</f>
        <v>-200</v>
      </c>
      <c r="D32" s="330">
        <v>400</v>
      </c>
      <c r="F32" s="59">
        <f>G32-M32</f>
        <v>-600</v>
      </c>
      <c r="G32" s="80">
        <v>600</v>
      </c>
      <c r="H32" s="86">
        <f t="shared" ref="H32:H35" si="27">G32/12*10</f>
        <v>500</v>
      </c>
      <c r="I32" s="333">
        <v>328</v>
      </c>
      <c r="J32" s="86">
        <f t="shared" ref="J32:J35" si="28">H32-I32</f>
        <v>172</v>
      </c>
      <c r="K32" s="81"/>
      <c r="L32" s="61">
        <f t="shared" ref="L32:L35" si="29">M32-R32</f>
        <v>-800</v>
      </c>
      <c r="M32" s="80">
        <v>1200</v>
      </c>
      <c r="N32" s="86">
        <f t="shared" ref="N32:N35" si="30">M32/12*10</f>
        <v>1000</v>
      </c>
      <c r="O32" s="81">
        <v>470.89</v>
      </c>
      <c r="P32" s="86">
        <f t="shared" ref="P32:P35" si="31">N32-O32</f>
        <v>529.11</v>
      </c>
      <c r="Q32" s="81"/>
      <c r="R32" s="80">
        <v>2000</v>
      </c>
      <c r="S32" s="60">
        <f t="shared" ref="S32:S35" si="32">R32/12*10</f>
        <v>1666.6666666666665</v>
      </c>
      <c r="T32" s="63">
        <v>1208</v>
      </c>
      <c r="U32" s="63">
        <f t="shared" ref="U32:U35" si="33">S32-T32</f>
        <v>458.66666666666652</v>
      </c>
      <c r="W32" s="198" t="s">
        <v>114</v>
      </c>
    </row>
    <row r="33" spans="1:32" ht="15.75" x14ac:dyDescent="0.2">
      <c r="A33" s="7" t="s">
        <v>83</v>
      </c>
      <c r="C33" s="59">
        <f>D33-G33</f>
        <v>-3500</v>
      </c>
      <c r="D33" s="330">
        <v>1500</v>
      </c>
      <c r="F33" s="59">
        <f>G33-M33</f>
        <v>0</v>
      </c>
      <c r="G33" s="80">
        <v>5000</v>
      </c>
      <c r="H33" s="86">
        <f t="shared" si="27"/>
        <v>4166.666666666667</v>
      </c>
      <c r="I33" s="333">
        <v>673</v>
      </c>
      <c r="J33" s="86">
        <f t="shared" si="28"/>
        <v>3493.666666666667</v>
      </c>
      <c r="K33" s="81"/>
      <c r="L33" s="61">
        <f t="shared" si="29"/>
        <v>2500</v>
      </c>
      <c r="M33" s="80">
        <v>5000</v>
      </c>
      <c r="N33" s="86">
        <f t="shared" si="30"/>
        <v>4166.666666666667</v>
      </c>
      <c r="O33" s="81">
        <v>8556</v>
      </c>
      <c r="P33" s="86">
        <f t="shared" si="31"/>
        <v>-4389.333333333333</v>
      </c>
      <c r="Q33" s="81"/>
      <c r="R33" s="80">
        <v>2500</v>
      </c>
      <c r="S33" s="60">
        <f t="shared" si="32"/>
        <v>2083.3333333333335</v>
      </c>
      <c r="T33" s="63">
        <v>3950</v>
      </c>
      <c r="U33" s="63">
        <f t="shared" si="33"/>
        <v>-1866.6666666666665</v>
      </c>
      <c r="W33" s="198" t="s">
        <v>115</v>
      </c>
      <c r="AD33" s="19"/>
    </row>
    <row r="34" spans="1:32" ht="15.75" x14ac:dyDescent="0.2">
      <c r="A34" s="7" t="s">
        <v>42</v>
      </c>
      <c r="C34" s="59">
        <f>D34-G34</f>
        <v>0</v>
      </c>
      <c r="D34" s="330">
        <v>1000</v>
      </c>
      <c r="F34" s="59">
        <f>G34-M34</f>
        <v>-100</v>
      </c>
      <c r="G34" s="80">
        <v>1000</v>
      </c>
      <c r="H34" s="86">
        <f t="shared" si="27"/>
        <v>833.33333333333326</v>
      </c>
      <c r="I34" s="333">
        <v>963</v>
      </c>
      <c r="J34" s="86">
        <f t="shared" si="28"/>
        <v>-129.66666666666674</v>
      </c>
      <c r="K34" s="81"/>
      <c r="L34" s="61">
        <f t="shared" si="29"/>
        <v>300</v>
      </c>
      <c r="M34" s="80">
        <v>1100</v>
      </c>
      <c r="N34" s="86">
        <f t="shared" si="30"/>
        <v>916.66666666666674</v>
      </c>
      <c r="O34" s="81">
        <v>960.42</v>
      </c>
      <c r="P34" s="86">
        <f t="shared" si="31"/>
        <v>-43.753333333333217</v>
      </c>
      <c r="Q34" s="81"/>
      <c r="R34" s="80">
        <v>800</v>
      </c>
      <c r="S34" s="60">
        <f t="shared" si="32"/>
        <v>666.66666666666674</v>
      </c>
      <c r="T34" s="63">
        <v>975</v>
      </c>
      <c r="U34" s="63">
        <f t="shared" si="33"/>
        <v>-308.33333333333326</v>
      </c>
      <c r="W34" s="198" t="s">
        <v>116</v>
      </c>
    </row>
    <row r="35" spans="1:32" ht="15.75" x14ac:dyDescent="0.2">
      <c r="A35" s="7" t="s">
        <v>93</v>
      </c>
      <c r="C35" s="59">
        <f>D35-G35</f>
        <v>0</v>
      </c>
      <c r="D35" s="330"/>
      <c r="F35" s="59">
        <f>G35-M35</f>
        <v>-1200</v>
      </c>
      <c r="G35" s="80"/>
      <c r="H35" s="86">
        <f t="shared" si="27"/>
        <v>0</v>
      </c>
      <c r="I35" s="333">
        <v>689</v>
      </c>
      <c r="J35" s="86">
        <f t="shared" si="28"/>
        <v>-689</v>
      </c>
      <c r="K35" s="81"/>
      <c r="L35" s="61">
        <f t="shared" si="29"/>
        <v>1200</v>
      </c>
      <c r="M35" s="80">
        <v>1200</v>
      </c>
      <c r="N35" s="86">
        <f t="shared" si="30"/>
        <v>1000</v>
      </c>
      <c r="O35" s="81">
        <v>346.19</v>
      </c>
      <c r="P35" s="86">
        <f t="shared" si="31"/>
        <v>653.80999999999995</v>
      </c>
      <c r="Q35" s="81"/>
      <c r="R35" s="80">
        <v>0</v>
      </c>
      <c r="S35" s="60">
        <f t="shared" si="32"/>
        <v>0</v>
      </c>
      <c r="T35" s="63">
        <v>1099</v>
      </c>
      <c r="U35" s="63">
        <f t="shared" si="33"/>
        <v>-1099</v>
      </c>
      <c r="W35" s="198" t="s">
        <v>320</v>
      </c>
    </row>
    <row r="36" spans="1:32" x14ac:dyDescent="0.2">
      <c r="A36" s="232"/>
      <c r="C36" s="233"/>
      <c r="F36" s="233"/>
      <c r="G36" s="80"/>
      <c r="H36" s="81"/>
      <c r="J36" s="201"/>
      <c r="K36" s="81"/>
      <c r="L36" s="79"/>
      <c r="M36" s="80"/>
      <c r="N36" s="81"/>
      <c r="O36" s="201"/>
      <c r="P36" s="201"/>
      <c r="Q36" s="81"/>
      <c r="R36" s="80"/>
      <c r="S36" s="201"/>
      <c r="T36" s="201"/>
      <c r="U36" s="201"/>
      <c r="X36" s="19"/>
    </row>
    <row r="37" spans="1:32" ht="15.75" thickBot="1" x14ac:dyDescent="0.25">
      <c r="A37" s="181" t="s">
        <v>182</v>
      </c>
      <c r="C37" s="230">
        <f t="shared" ref="C37" si="34">SUM(C31:C36)</f>
        <v>-3700</v>
      </c>
      <c r="D37" s="101">
        <f t="shared" ref="D37" si="35">SUM(D31:D36)</f>
        <v>2900</v>
      </c>
      <c r="E37" s="131"/>
      <c r="F37" s="230">
        <f>SUM(F31:F36)</f>
        <v>-1900</v>
      </c>
      <c r="G37" s="101">
        <f>SUM(G31:G36)</f>
        <v>6600</v>
      </c>
      <c r="H37" s="231">
        <f t="shared" ref="H37" si="36">SUM(H31:H36)</f>
        <v>5500</v>
      </c>
      <c r="I37" s="231">
        <f t="shared" ref="I37:J37" si="37">SUM(I31:I36)</f>
        <v>2653</v>
      </c>
      <c r="J37" s="231">
        <f t="shared" si="37"/>
        <v>2847</v>
      </c>
      <c r="K37" s="81"/>
      <c r="L37" s="230">
        <f t="shared" ref="L37:P37" si="38">SUM(L31:L36)</f>
        <v>3200</v>
      </c>
      <c r="M37" s="101">
        <f t="shared" si="38"/>
        <v>8500</v>
      </c>
      <c r="N37" s="231">
        <f t="shared" si="38"/>
        <v>7083.3333333333339</v>
      </c>
      <c r="O37" s="231">
        <f t="shared" si="38"/>
        <v>10333.5</v>
      </c>
      <c r="P37" s="231">
        <f t="shared" si="38"/>
        <v>-3250.1666666666661</v>
      </c>
      <c r="Q37" s="81"/>
      <c r="R37" s="101">
        <f>SUM(R31:R36)</f>
        <v>5300</v>
      </c>
      <c r="S37" s="231">
        <f t="shared" ref="S37:U37" si="39">SUM(S31:S36)</f>
        <v>4416.666666666667</v>
      </c>
      <c r="T37" s="231">
        <f t="shared" si="39"/>
        <v>7232</v>
      </c>
      <c r="U37" s="231">
        <f t="shared" si="39"/>
        <v>-2815.333333333333</v>
      </c>
      <c r="X37" s="19"/>
    </row>
    <row r="38" spans="1:32" x14ac:dyDescent="0.2">
      <c r="A38" s="232"/>
      <c r="C38" s="233"/>
      <c r="F38" s="233"/>
      <c r="G38" s="80"/>
      <c r="H38" s="81"/>
      <c r="J38" s="201"/>
      <c r="K38" s="81"/>
      <c r="L38" s="233"/>
      <c r="M38" s="80"/>
      <c r="N38" s="81"/>
      <c r="O38" s="201"/>
      <c r="P38" s="201"/>
      <c r="Q38" s="81"/>
      <c r="R38" s="80"/>
      <c r="S38" s="201"/>
      <c r="T38" s="201"/>
      <c r="U38" s="201"/>
    </row>
    <row r="39" spans="1:32" x14ac:dyDescent="0.2">
      <c r="A39" s="9" t="s">
        <v>37</v>
      </c>
      <c r="C39" s="233"/>
      <c r="F39" s="233"/>
      <c r="G39" s="80"/>
      <c r="H39" s="81"/>
      <c r="J39" s="201"/>
      <c r="K39" s="81"/>
      <c r="L39" s="79"/>
      <c r="M39" s="80"/>
      <c r="N39" s="81"/>
      <c r="O39" s="201"/>
      <c r="P39" s="201"/>
      <c r="Q39" s="81"/>
      <c r="R39" s="80"/>
      <c r="S39" s="201"/>
      <c r="T39" s="201"/>
      <c r="U39" s="201"/>
    </row>
    <row r="40" spans="1:32" ht="15.75" x14ac:dyDescent="0.2">
      <c r="A40" s="7" t="s">
        <v>38</v>
      </c>
      <c r="B40" s="226" t="s">
        <v>167</v>
      </c>
      <c r="C40" s="59">
        <f t="shared" ref="C40:C46" si="40">D40-G40</f>
        <v>-796.89999999999964</v>
      </c>
      <c r="D40" s="329">
        <v>5000</v>
      </c>
      <c r="E40" s="308"/>
      <c r="F40" s="59">
        <f t="shared" ref="F40:F46" si="41">G40-M40</f>
        <v>96.899999999999636</v>
      </c>
      <c r="G40" s="85">
        <f>M40+(M40*$C$80)</f>
        <v>5796.9</v>
      </c>
      <c r="H40" s="86">
        <f t="shared" ref="H40:H46" si="42">G40/12*10</f>
        <v>4830.75</v>
      </c>
      <c r="I40" s="333">
        <v>2473</v>
      </c>
      <c r="J40" s="86">
        <f t="shared" ref="J40:J46" si="43">H40-I40</f>
        <v>2357.75</v>
      </c>
      <c r="K40" s="81"/>
      <c r="L40" s="61">
        <f t="shared" ref="L40:L44" si="44">M40-R40</f>
        <v>1000</v>
      </c>
      <c r="M40" s="80">
        <v>5700</v>
      </c>
      <c r="N40" s="86">
        <f t="shared" ref="N40:N44" si="45">M40/12*10</f>
        <v>4750</v>
      </c>
      <c r="O40" s="81">
        <v>-500</v>
      </c>
      <c r="P40" s="86">
        <f t="shared" ref="P40:P44" si="46">N40-O40</f>
        <v>5250</v>
      </c>
      <c r="Q40" s="81"/>
      <c r="R40" s="80">
        <v>4700</v>
      </c>
      <c r="S40" s="60">
        <f t="shared" ref="S40:S44" si="47">R40/12*10</f>
        <v>3916.666666666667</v>
      </c>
      <c r="T40" s="63">
        <v>4346</v>
      </c>
      <c r="U40" s="63">
        <f t="shared" ref="U40:U44" si="48">S40-T40</f>
        <v>-429.33333333333303</v>
      </c>
      <c r="W40" s="198" t="s">
        <v>321</v>
      </c>
    </row>
    <row r="41" spans="1:32" ht="15.75" x14ac:dyDescent="0.2">
      <c r="A41" s="7" t="s">
        <v>70</v>
      </c>
      <c r="C41" s="59">
        <f t="shared" si="40"/>
        <v>250</v>
      </c>
      <c r="D41" s="330">
        <v>500</v>
      </c>
      <c r="F41" s="59">
        <f t="shared" si="41"/>
        <v>-1250</v>
      </c>
      <c r="G41" s="80">
        <v>250</v>
      </c>
      <c r="H41" s="86">
        <f t="shared" si="42"/>
        <v>208.33333333333331</v>
      </c>
      <c r="I41" s="333">
        <v>572</v>
      </c>
      <c r="J41" s="86">
        <f t="shared" si="43"/>
        <v>-363.66666666666669</v>
      </c>
      <c r="K41" s="81"/>
      <c r="L41" s="61">
        <f t="shared" si="44"/>
        <v>500</v>
      </c>
      <c r="M41" s="80">
        <v>1500</v>
      </c>
      <c r="N41" s="86">
        <f t="shared" si="45"/>
        <v>1250</v>
      </c>
      <c r="O41" s="81">
        <v>323.02999999999997</v>
      </c>
      <c r="P41" s="86">
        <f t="shared" si="46"/>
        <v>926.97</v>
      </c>
      <c r="Q41" s="81"/>
      <c r="R41" s="80">
        <v>1000</v>
      </c>
      <c r="S41" s="60">
        <f t="shared" si="47"/>
        <v>833.33333333333326</v>
      </c>
      <c r="T41" s="63">
        <v>956</v>
      </c>
      <c r="U41" s="63">
        <f t="shared" si="48"/>
        <v>-122.66666666666674</v>
      </c>
      <c r="W41" s="198" t="s">
        <v>117</v>
      </c>
      <c r="AA41" s="19"/>
    </row>
    <row r="42" spans="1:32" ht="15.75" x14ac:dyDescent="0.2">
      <c r="A42" s="7" t="s">
        <v>142</v>
      </c>
      <c r="C42" s="59">
        <f t="shared" si="40"/>
        <v>0</v>
      </c>
      <c r="D42" s="330">
        <v>0</v>
      </c>
      <c r="F42" s="59">
        <f t="shared" si="41"/>
        <v>0</v>
      </c>
      <c r="G42" s="80">
        <v>0</v>
      </c>
      <c r="H42" s="86">
        <f t="shared" si="42"/>
        <v>0</v>
      </c>
      <c r="I42" s="333">
        <v>0</v>
      </c>
      <c r="J42" s="86">
        <f t="shared" si="43"/>
        <v>0</v>
      </c>
      <c r="K42" s="81"/>
      <c r="L42" s="61">
        <f t="shared" si="44"/>
        <v>0</v>
      </c>
      <c r="M42" s="80"/>
      <c r="N42" s="86">
        <f t="shared" si="45"/>
        <v>0</v>
      </c>
      <c r="O42" s="81">
        <v>0</v>
      </c>
      <c r="P42" s="86">
        <f t="shared" si="46"/>
        <v>0</v>
      </c>
      <c r="Q42" s="81"/>
      <c r="R42" s="80"/>
      <c r="S42" s="60">
        <f t="shared" si="47"/>
        <v>0</v>
      </c>
      <c r="T42" s="63">
        <v>0</v>
      </c>
      <c r="U42" s="63">
        <f t="shared" si="48"/>
        <v>0</v>
      </c>
      <c r="W42" s="198" t="s">
        <v>143</v>
      </c>
      <c r="AA42" s="19"/>
    </row>
    <row r="43" spans="1:32" ht="15.75" x14ac:dyDescent="0.2">
      <c r="A43" s="7" t="s">
        <v>144</v>
      </c>
      <c r="C43" s="59">
        <f t="shared" si="40"/>
        <v>0</v>
      </c>
      <c r="D43" s="330">
        <v>0</v>
      </c>
      <c r="F43" s="59">
        <f t="shared" si="41"/>
        <v>0</v>
      </c>
      <c r="G43" s="80">
        <v>0</v>
      </c>
      <c r="H43" s="86">
        <f t="shared" si="42"/>
        <v>0</v>
      </c>
      <c r="I43" s="333">
        <v>0</v>
      </c>
      <c r="J43" s="86">
        <f t="shared" si="43"/>
        <v>0</v>
      </c>
      <c r="K43" s="81"/>
      <c r="L43" s="61">
        <f t="shared" si="44"/>
        <v>0</v>
      </c>
      <c r="M43" s="80"/>
      <c r="N43" s="86">
        <f t="shared" si="45"/>
        <v>0</v>
      </c>
      <c r="O43" s="81">
        <v>0</v>
      </c>
      <c r="P43" s="86">
        <f t="shared" si="46"/>
        <v>0</v>
      </c>
      <c r="Q43" s="81"/>
      <c r="R43" s="80"/>
      <c r="S43" s="60">
        <f t="shared" si="47"/>
        <v>0</v>
      </c>
      <c r="T43" s="63">
        <v>0</v>
      </c>
      <c r="U43" s="63">
        <f t="shared" si="48"/>
        <v>0</v>
      </c>
      <c r="W43" s="198" t="s">
        <v>322</v>
      </c>
      <c r="Y43" s="19"/>
    </row>
    <row r="44" spans="1:32" ht="15.75" x14ac:dyDescent="0.25">
      <c r="A44" s="50" t="s">
        <v>122</v>
      </c>
      <c r="B44" s="32"/>
      <c r="C44" s="59">
        <f t="shared" si="40"/>
        <v>0</v>
      </c>
      <c r="D44" s="328">
        <v>0</v>
      </c>
      <c r="E44" s="34"/>
      <c r="F44" s="59">
        <f t="shared" si="41"/>
        <v>-750</v>
      </c>
      <c r="G44" s="116"/>
      <c r="H44" s="60">
        <f t="shared" si="42"/>
        <v>0</v>
      </c>
      <c r="I44" s="333">
        <v>0</v>
      </c>
      <c r="J44" s="60">
        <f t="shared" si="43"/>
        <v>0</v>
      </c>
      <c r="K44" s="63"/>
      <c r="L44" s="61">
        <f t="shared" si="44"/>
        <v>750</v>
      </c>
      <c r="M44" s="116">
        <v>750</v>
      </c>
      <c r="N44" s="60">
        <f t="shared" si="45"/>
        <v>625</v>
      </c>
      <c r="O44" s="60">
        <v>1317.79</v>
      </c>
      <c r="P44" s="60">
        <f t="shared" si="46"/>
        <v>-692.79</v>
      </c>
      <c r="Q44" s="117"/>
      <c r="R44" s="116"/>
      <c r="S44" s="60">
        <f t="shared" si="47"/>
        <v>0</v>
      </c>
      <c r="T44" s="117">
        <v>2964</v>
      </c>
      <c r="U44" s="63">
        <f t="shared" si="48"/>
        <v>-2964</v>
      </c>
      <c r="V44" s="32"/>
      <c r="W44" s="32" t="s">
        <v>288</v>
      </c>
      <c r="X44" s="32"/>
      <c r="Y44" s="32"/>
      <c r="Z44" s="32"/>
      <c r="AA44" s="32"/>
      <c r="AB44" s="32"/>
      <c r="AD44" s="32"/>
      <c r="AE44" s="32"/>
      <c r="AF44" s="32"/>
    </row>
    <row r="45" spans="1:32" ht="15.75" x14ac:dyDescent="0.2">
      <c r="A45" s="243" t="s">
        <v>187</v>
      </c>
      <c r="C45" s="59">
        <f t="shared" si="40"/>
        <v>0</v>
      </c>
      <c r="D45" s="330">
        <v>0</v>
      </c>
      <c r="F45" s="59">
        <f t="shared" si="41"/>
        <v>0</v>
      </c>
      <c r="G45" s="80"/>
      <c r="H45" s="86">
        <f t="shared" si="42"/>
        <v>0</v>
      </c>
      <c r="I45" s="333">
        <v>0</v>
      </c>
      <c r="J45" s="86">
        <f t="shared" si="43"/>
        <v>0</v>
      </c>
      <c r="K45" s="81"/>
      <c r="L45" s="61">
        <f t="shared" ref="L45:L46" si="49">M45-R45</f>
        <v>0</v>
      </c>
      <c r="M45" s="80"/>
      <c r="N45" s="86">
        <f t="shared" ref="N45:N46" si="50">M45/12*10</f>
        <v>0</v>
      </c>
      <c r="O45" s="81"/>
      <c r="P45" s="86">
        <f t="shared" ref="P45:P46" si="51">N45-O45</f>
        <v>0</v>
      </c>
      <c r="Q45" s="81"/>
      <c r="R45" s="80"/>
      <c r="S45" s="60">
        <f t="shared" ref="S45:S46" si="52">R45/12*10</f>
        <v>0</v>
      </c>
      <c r="T45" s="63"/>
      <c r="U45" s="63">
        <f t="shared" ref="U45:U46" si="53">S45-T45</f>
        <v>0</v>
      </c>
      <c r="W45" s="295" t="s">
        <v>323</v>
      </c>
    </row>
    <row r="46" spans="1:32" ht="15.75" x14ac:dyDescent="0.2">
      <c r="A46" s="243" t="s">
        <v>186</v>
      </c>
      <c r="C46" s="59">
        <f t="shared" si="40"/>
        <v>0</v>
      </c>
      <c r="D46" s="330">
        <v>0</v>
      </c>
      <c r="F46" s="59">
        <f t="shared" si="41"/>
        <v>0</v>
      </c>
      <c r="G46" s="80">
        <v>0</v>
      </c>
      <c r="H46" s="86">
        <f t="shared" si="42"/>
        <v>0</v>
      </c>
      <c r="I46" s="333">
        <v>0</v>
      </c>
      <c r="J46" s="86">
        <f t="shared" si="43"/>
        <v>0</v>
      </c>
      <c r="K46" s="81"/>
      <c r="L46" s="61">
        <f t="shared" si="49"/>
        <v>0</v>
      </c>
      <c r="M46" s="80"/>
      <c r="N46" s="86">
        <f t="shared" si="50"/>
        <v>0</v>
      </c>
      <c r="O46" s="81"/>
      <c r="P46" s="86">
        <f t="shared" si="51"/>
        <v>0</v>
      </c>
      <c r="Q46" s="81"/>
      <c r="R46" s="80"/>
      <c r="S46" s="60">
        <f t="shared" si="52"/>
        <v>0</v>
      </c>
      <c r="T46" s="63"/>
      <c r="U46" s="63">
        <f t="shared" si="53"/>
        <v>0</v>
      </c>
      <c r="W46" s="295" t="s">
        <v>324</v>
      </c>
    </row>
    <row r="47" spans="1:32" x14ac:dyDescent="0.2">
      <c r="A47" s="232"/>
      <c r="C47" s="233"/>
      <c r="F47" s="233"/>
      <c r="G47" s="80"/>
      <c r="H47" s="81"/>
      <c r="J47" s="201"/>
      <c r="K47" s="81"/>
      <c r="L47" s="79"/>
      <c r="M47" s="80"/>
      <c r="N47" s="81"/>
      <c r="O47" s="201"/>
      <c r="P47" s="201"/>
      <c r="Q47" s="81"/>
      <c r="R47" s="131"/>
      <c r="S47" s="201"/>
      <c r="T47" s="201"/>
      <c r="U47" s="201"/>
    </row>
    <row r="48" spans="1:32" ht="15.75" thickBot="1" x14ac:dyDescent="0.25">
      <c r="A48" s="181" t="s">
        <v>183</v>
      </c>
      <c r="C48" s="230">
        <f>SUM(C39:C47)</f>
        <v>-546.89999999999964</v>
      </c>
      <c r="D48" s="101">
        <f>SUM(D39:D47)</f>
        <v>5500</v>
      </c>
      <c r="E48" s="131"/>
      <c r="F48" s="230">
        <f>SUM(F39:F47)</f>
        <v>-1903.1000000000004</v>
      </c>
      <c r="G48" s="101">
        <f>SUM(G39:G47)</f>
        <v>6046.9</v>
      </c>
      <c r="H48" s="231">
        <f>SUM(H39:H47)</f>
        <v>5039.083333333333</v>
      </c>
      <c r="I48" s="231">
        <f>SUM(I39:I47)</f>
        <v>3045</v>
      </c>
      <c r="J48" s="231">
        <f>SUM(J39:J47)</f>
        <v>1994.0833333333333</v>
      </c>
      <c r="K48" s="81"/>
      <c r="L48" s="230">
        <f>SUM(L39:L47)</f>
        <v>2250</v>
      </c>
      <c r="M48" s="101">
        <f>SUM(M39:M47)</f>
        <v>7950</v>
      </c>
      <c r="N48" s="231">
        <f>SUM(N39:N47)</f>
        <v>6625</v>
      </c>
      <c r="O48" s="231">
        <f>SUM(O39:O47)</f>
        <v>1140.82</v>
      </c>
      <c r="P48" s="231">
        <f>SUM(P39:P47)</f>
        <v>5484.18</v>
      </c>
      <c r="Q48" s="81"/>
      <c r="R48" s="101">
        <f>SUM(R39:R47)</f>
        <v>5700</v>
      </c>
      <c r="S48" s="231">
        <f>SUM(S39:S47)</f>
        <v>4750</v>
      </c>
      <c r="T48" s="231">
        <f>SUM(T39:T47)</f>
        <v>8266</v>
      </c>
      <c r="U48" s="231">
        <f>SUM(U39:U47)</f>
        <v>-3516</v>
      </c>
    </row>
    <row r="49" spans="1:23" x14ac:dyDescent="0.2">
      <c r="A49" s="232"/>
      <c r="C49" s="233"/>
      <c r="F49" s="233"/>
      <c r="G49" s="131"/>
      <c r="H49" s="81"/>
      <c r="I49" s="201"/>
      <c r="J49" s="201"/>
      <c r="K49" s="81"/>
      <c r="L49" s="233"/>
      <c r="M49" s="131"/>
      <c r="N49" s="81"/>
      <c r="O49" s="201"/>
      <c r="P49" s="201"/>
      <c r="Q49" s="81"/>
      <c r="R49" s="131"/>
      <c r="S49" s="201"/>
      <c r="T49" s="201"/>
      <c r="U49" s="201"/>
    </row>
    <row r="50" spans="1:23" x14ac:dyDescent="0.2">
      <c r="A50" s="4" t="s">
        <v>27</v>
      </c>
      <c r="C50" s="79"/>
      <c r="F50" s="79"/>
      <c r="G50" s="80"/>
      <c r="H50" s="81"/>
      <c r="J50" s="81"/>
      <c r="K50" s="81"/>
      <c r="L50" s="79"/>
      <c r="M50" s="80"/>
      <c r="N50" s="81"/>
      <c r="O50" s="81"/>
      <c r="P50" s="81"/>
      <c r="Q50" s="81"/>
      <c r="R50" s="80"/>
      <c r="S50" s="81"/>
      <c r="T50" s="81"/>
      <c r="U50" s="81"/>
    </row>
    <row r="51" spans="1:23" ht="15.75" x14ac:dyDescent="0.2">
      <c r="A51" s="3" t="s">
        <v>28</v>
      </c>
      <c r="C51" s="59">
        <f t="shared" ref="C51:C58" si="54">D51-G51</f>
        <v>0</v>
      </c>
      <c r="D51" s="330">
        <v>800</v>
      </c>
      <c r="F51" s="59">
        <f t="shared" ref="F51:F58" si="55">G51-M51</f>
        <v>-400</v>
      </c>
      <c r="G51" s="80">
        <v>800</v>
      </c>
      <c r="H51" s="86">
        <f t="shared" ref="H51:H58" si="56">G51/12*10</f>
        <v>666.66666666666674</v>
      </c>
      <c r="I51" s="333">
        <v>786</v>
      </c>
      <c r="J51" s="86">
        <f t="shared" ref="J51:J58" si="57">H51-I51</f>
        <v>-119.33333333333326</v>
      </c>
      <c r="K51" s="81"/>
      <c r="L51" s="61">
        <f t="shared" ref="L51:L58" si="58">M51-R51</f>
        <v>750</v>
      </c>
      <c r="M51" s="80">
        <v>1200</v>
      </c>
      <c r="N51" s="86">
        <f t="shared" ref="N51:N58" si="59">M51/12*10</f>
        <v>1000</v>
      </c>
      <c r="O51" s="81">
        <v>631.51</v>
      </c>
      <c r="P51" s="86">
        <f t="shared" ref="P51:P58" si="60">N51-O51</f>
        <v>368.49</v>
      </c>
      <c r="Q51" s="81"/>
      <c r="R51" s="80">
        <v>450</v>
      </c>
      <c r="S51" s="60">
        <f t="shared" ref="S51:S58" si="61">R51/12*10</f>
        <v>375</v>
      </c>
      <c r="T51" s="63">
        <v>977</v>
      </c>
      <c r="U51" s="63">
        <f t="shared" ref="U51:U58" si="62">S51-T51</f>
        <v>-602</v>
      </c>
      <c r="W51" s="198" t="s">
        <v>344</v>
      </c>
    </row>
    <row r="52" spans="1:23" ht="15.75" x14ac:dyDescent="0.2">
      <c r="A52" s="3" t="s">
        <v>29</v>
      </c>
      <c r="C52" s="59">
        <f t="shared" si="54"/>
        <v>0</v>
      </c>
      <c r="D52" s="330">
        <v>0</v>
      </c>
      <c r="F52" s="59">
        <f t="shared" si="55"/>
        <v>0</v>
      </c>
      <c r="G52" s="80">
        <v>0</v>
      </c>
      <c r="H52" s="86">
        <f t="shared" si="56"/>
        <v>0</v>
      </c>
      <c r="I52" s="333">
        <v>0</v>
      </c>
      <c r="J52" s="86">
        <f t="shared" si="57"/>
        <v>0</v>
      </c>
      <c r="K52" s="81"/>
      <c r="L52" s="61">
        <f t="shared" si="58"/>
        <v>-530</v>
      </c>
      <c r="M52" s="80">
        <v>0</v>
      </c>
      <c r="N52" s="86">
        <f t="shared" si="59"/>
        <v>0</v>
      </c>
      <c r="O52" s="81">
        <v>0</v>
      </c>
      <c r="P52" s="86">
        <f t="shared" si="60"/>
        <v>0</v>
      </c>
      <c r="Q52" s="81"/>
      <c r="R52" s="80">
        <v>530</v>
      </c>
      <c r="S52" s="60">
        <f t="shared" si="61"/>
        <v>441.66666666666663</v>
      </c>
      <c r="T52" s="63">
        <v>0</v>
      </c>
      <c r="U52" s="63">
        <f t="shared" si="62"/>
        <v>441.66666666666663</v>
      </c>
      <c r="W52" s="198" t="s">
        <v>345</v>
      </c>
    </row>
    <row r="53" spans="1:23" ht="15.75" x14ac:dyDescent="0.2">
      <c r="A53" s="3" t="s">
        <v>30</v>
      </c>
      <c r="C53" s="59">
        <f t="shared" si="54"/>
        <v>0</v>
      </c>
      <c r="D53" s="330">
        <v>800</v>
      </c>
      <c r="F53" s="59">
        <f t="shared" si="55"/>
        <v>-200</v>
      </c>
      <c r="G53" s="80">
        <v>800</v>
      </c>
      <c r="H53" s="86">
        <f t="shared" si="56"/>
        <v>666.66666666666674</v>
      </c>
      <c r="I53" s="333">
        <v>858</v>
      </c>
      <c r="J53" s="86">
        <f t="shared" si="57"/>
        <v>-191.33333333333326</v>
      </c>
      <c r="K53" s="81"/>
      <c r="L53" s="61">
        <f t="shared" si="58"/>
        <v>400</v>
      </c>
      <c r="M53" s="80">
        <v>1000</v>
      </c>
      <c r="N53" s="86">
        <f t="shared" si="59"/>
        <v>833.33333333333326</v>
      </c>
      <c r="O53" s="81">
        <v>590.89</v>
      </c>
      <c r="P53" s="86">
        <f t="shared" si="60"/>
        <v>242.44333333333327</v>
      </c>
      <c r="Q53" s="81"/>
      <c r="R53" s="80">
        <v>600</v>
      </c>
      <c r="S53" s="60">
        <f t="shared" si="61"/>
        <v>500</v>
      </c>
      <c r="T53" s="63">
        <v>914</v>
      </c>
      <c r="U53" s="63">
        <f t="shared" si="62"/>
        <v>-414</v>
      </c>
      <c r="W53" s="198" t="s">
        <v>346</v>
      </c>
    </row>
    <row r="54" spans="1:23" ht="15.75" x14ac:dyDescent="0.2">
      <c r="A54" s="3" t="s">
        <v>31</v>
      </c>
      <c r="C54" s="59">
        <f t="shared" si="54"/>
        <v>-100</v>
      </c>
      <c r="D54" s="330">
        <v>0</v>
      </c>
      <c r="F54" s="59">
        <f t="shared" si="55"/>
        <v>-150</v>
      </c>
      <c r="G54" s="80">
        <v>100</v>
      </c>
      <c r="H54" s="86">
        <f t="shared" si="56"/>
        <v>83.333333333333343</v>
      </c>
      <c r="I54" s="333">
        <v>163</v>
      </c>
      <c r="J54" s="86">
        <f t="shared" si="57"/>
        <v>-79.666666666666657</v>
      </c>
      <c r="K54" s="81"/>
      <c r="L54" s="61">
        <f t="shared" si="58"/>
        <v>250</v>
      </c>
      <c r="M54" s="80">
        <v>250</v>
      </c>
      <c r="N54" s="86">
        <f t="shared" si="59"/>
        <v>208.33333333333331</v>
      </c>
      <c r="O54" s="81">
        <v>47.69</v>
      </c>
      <c r="P54" s="86">
        <f t="shared" si="60"/>
        <v>160.64333333333332</v>
      </c>
      <c r="Q54" s="81"/>
      <c r="R54" s="80">
        <v>0</v>
      </c>
      <c r="S54" s="60">
        <f t="shared" si="61"/>
        <v>0</v>
      </c>
      <c r="T54" s="63">
        <v>219</v>
      </c>
      <c r="U54" s="63">
        <f t="shared" si="62"/>
        <v>-219</v>
      </c>
      <c r="W54" s="295" t="s">
        <v>259</v>
      </c>
    </row>
    <row r="55" spans="1:23" ht="15.75" x14ac:dyDescent="0.2">
      <c r="A55" s="234" t="s">
        <v>76</v>
      </c>
      <c r="C55" s="59">
        <f t="shared" si="54"/>
        <v>-300</v>
      </c>
      <c r="D55" s="330">
        <v>300</v>
      </c>
      <c r="F55" s="59">
        <f t="shared" si="55"/>
        <v>0</v>
      </c>
      <c r="G55" s="80">
        <v>600</v>
      </c>
      <c r="H55" s="86">
        <f t="shared" si="56"/>
        <v>500</v>
      </c>
      <c r="I55" s="333">
        <v>22</v>
      </c>
      <c r="J55" s="86">
        <f t="shared" si="57"/>
        <v>478</v>
      </c>
      <c r="K55" s="81"/>
      <c r="L55" s="61">
        <f t="shared" si="58"/>
        <v>0</v>
      </c>
      <c r="M55" s="80">
        <v>600</v>
      </c>
      <c r="N55" s="86">
        <f t="shared" si="59"/>
        <v>500</v>
      </c>
      <c r="O55" s="81">
        <v>587.12</v>
      </c>
      <c r="P55" s="86">
        <f t="shared" si="60"/>
        <v>-87.12</v>
      </c>
      <c r="Q55" s="81"/>
      <c r="R55" s="80">
        <v>600</v>
      </c>
      <c r="S55" s="60">
        <f t="shared" si="61"/>
        <v>500</v>
      </c>
      <c r="T55" s="63">
        <v>76</v>
      </c>
      <c r="U55" s="63">
        <f t="shared" si="62"/>
        <v>424</v>
      </c>
      <c r="W55" s="198" t="s">
        <v>347</v>
      </c>
    </row>
    <row r="56" spans="1:23" ht="15.75" x14ac:dyDescent="0.2">
      <c r="A56" s="234" t="s">
        <v>138</v>
      </c>
      <c r="C56" s="59">
        <f t="shared" si="54"/>
        <v>0</v>
      </c>
      <c r="D56" s="330">
        <v>200</v>
      </c>
      <c r="F56" s="59">
        <f t="shared" si="55"/>
        <v>0</v>
      </c>
      <c r="G56" s="80">
        <v>200</v>
      </c>
      <c r="H56" s="86">
        <f>G56/12*10</f>
        <v>166.66666666666669</v>
      </c>
      <c r="I56" s="333">
        <v>0</v>
      </c>
      <c r="J56" s="86">
        <f>H56-I56</f>
        <v>166.66666666666669</v>
      </c>
      <c r="K56" s="81"/>
      <c r="L56" s="61">
        <f>M56-R56</f>
        <v>0</v>
      </c>
      <c r="M56" s="80">
        <v>200</v>
      </c>
      <c r="N56" s="86">
        <f>M56/12*10</f>
        <v>166.66666666666669</v>
      </c>
      <c r="O56" s="81">
        <v>83.79</v>
      </c>
      <c r="P56" s="86">
        <f>N56-O56</f>
        <v>82.876666666666679</v>
      </c>
      <c r="Q56" s="81"/>
      <c r="R56" s="80">
        <v>200</v>
      </c>
      <c r="S56" s="60">
        <f>R56/12*10</f>
        <v>166.66666666666669</v>
      </c>
      <c r="T56" s="63">
        <v>10</v>
      </c>
      <c r="U56" s="63">
        <f>S56-T56</f>
        <v>156.66666666666669</v>
      </c>
      <c r="W56" s="198" t="s">
        <v>109</v>
      </c>
    </row>
    <row r="57" spans="1:23" ht="15.75" x14ac:dyDescent="0.2">
      <c r="A57" s="234" t="s">
        <v>137</v>
      </c>
      <c r="C57" s="59">
        <f t="shared" si="54"/>
        <v>150</v>
      </c>
      <c r="D57" s="330">
        <v>3050</v>
      </c>
      <c r="F57" s="59">
        <f t="shared" si="55"/>
        <v>700</v>
      </c>
      <c r="G57" s="80">
        <v>2900</v>
      </c>
      <c r="H57" s="86">
        <f t="shared" si="56"/>
        <v>2416.6666666666665</v>
      </c>
      <c r="I57" s="333">
        <v>2022</v>
      </c>
      <c r="J57" s="86">
        <f t="shared" si="57"/>
        <v>394.66666666666652</v>
      </c>
      <c r="K57" s="81"/>
      <c r="L57" s="61">
        <f t="shared" si="58"/>
        <v>800</v>
      </c>
      <c r="M57" s="80">
        <v>2200</v>
      </c>
      <c r="N57" s="86">
        <f t="shared" si="59"/>
        <v>1833.3333333333335</v>
      </c>
      <c r="O57" s="81">
        <v>2127.5</v>
      </c>
      <c r="P57" s="86">
        <f t="shared" si="60"/>
        <v>-294.16666666666652</v>
      </c>
      <c r="Q57" s="81"/>
      <c r="R57" s="80">
        <v>1400</v>
      </c>
      <c r="S57" s="60">
        <f t="shared" si="61"/>
        <v>1166.6666666666667</v>
      </c>
      <c r="T57" s="63">
        <v>1411</v>
      </c>
      <c r="U57" s="63">
        <f t="shared" si="62"/>
        <v>-244.33333333333326</v>
      </c>
      <c r="W57" s="198" t="s">
        <v>348</v>
      </c>
    </row>
    <row r="58" spans="1:23" ht="15.75" x14ac:dyDescent="0.2">
      <c r="A58" s="234" t="s">
        <v>132</v>
      </c>
      <c r="C58" s="59">
        <f t="shared" si="54"/>
        <v>0</v>
      </c>
      <c r="D58" s="330">
        <v>0</v>
      </c>
      <c r="F58" s="59">
        <f t="shared" si="55"/>
        <v>-50</v>
      </c>
      <c r="G58" s="80">
        <v>0</v>
      </c>
      <c r="H58" s="86">
        <f t="shared" si="56"/>
        <v>0</v>
      </c>
      <c r="I58" s="333"/>
      <c r="J58" s="86">
        <f t="shared" si="57"/>
        <v>0</v>
      </c>
      <c r="K58" s="81"/>
      <c r="L58" s="61">
        <f t="shared" si="58"/>
        <v>50</v>
      </c>
      <c r="M58" s="80">
        <v>50</v>
      </c>
      <c r="N58" s="86">
        <f t="shared" si="59"/>
        <v>41.666666666666671</v>
      </c>
      <c r="O58" s="81">
        <v>0</v>
      </c>
      <c r="P58" s="86">
        <f t="shared" si="60"/>
        <v>41.666666666666671</v>
      </c>
      <c r="Q58" s="81"/>
      <c r="R58" s="80">
        <v>0</v>
      </c>
      <c r="S58" s="60">
        <f t="shared" si="61"/>
        <v>0</v>
      </c>
      <c r="T58" s="63">
        <v>47</v>
      </c>
      <c r="U58" s="63">
        <f t="shared" si="62"/>
        <v>-47</v>
      </c>
    </row>
    <row r="59" spans="1:23" x14ac:dyDescent="0.2">
      <c r="A59" s="234" t="s">
        <v>285</v>
      </c>
      <c r="C59" s="79"/>
      <c r="D59" s="303">
        <v>200</v>
      </c>
      <c r="F59" s="79"/>
      <c r="G59" s="80"/>
      <c r="H59" s="81"/>
      <c r="I59" s="198">
        <v>0</v>
      </c>
      <c r="J59" s="81"/>
      <c r="K59" s="81"/>
      <c r="L59" s="79"/>
      <c r="M59" s="80"/>
      <c r="N59" s="81"/>
      <c r="O59" s="81"/>
      <c r="P59" s="81"/>
      <c r="Q59" s="81"/>
      <c r="R59" s="80"/>
      <c r="S59" s="81"/>
      <c r="T59" s="81"/>
      <c r="U59" s="81"/>
    </row>
    <row r="60" spans="1:23" ht="15.75" thickBot="1" x14ac:dyDescent="0.25">
      <c r="A60" s="181" t="s">
        <v>180</v>
      </c>
      <c r="C60" s="230">
        <f>SUM(C50:C59)</f>
        <v>-250</v>
      </c>
      <c r="D60" s="101">
        <f>SUM(D50:D59)</f>
        <v>5350</v>
      </c>
      <c r="E60" s="131"/>
      <c r="F60" s="230">
        <f>SUM(F50:F59)</f>
        <v>-100</v>
      </c>
      <c r="G60" s="101">
        <f>SUM(G50:G59)</f>
        <v>5400</v>
      </c>
      <c r="H60" s="231">
        <f>SUM(H50:H59)</f>
        <v>4500</v>
      </c>
      <c r="I60" s="231">
        <f>SUM(I50:I59)</f>
        <v>3851</v>
      </c>
      <c r="J60" s="231">
        <f>SUM(J50:J59)</f>
        <v>649</v>
      </c>
      <c r="K60" s="81"/>
      <c r="L60" s="230">
        <f>SUM(L50:L59)</f>
        <v>1720</v>
      </c>
      <c r="M60" s="101">
        <f>SUM(M50:M59)</f>
        <v>5500</v>
      </c>
      <c r="N60" s="231">
        <f>SUM(N50:N59)</f>
        <v>4583.333333333333</v>
      </c>
      <c r="O60" s="231">
        <f>SUM(O50:O59)</f>
        <v>4068.5</v>
      </c>
      <c r="P60" s="231">
        <f>SUM(P50:P59)</f>
        <v>514.83333333333337</v>
      </c>
      <c r="Q60" s="81"/>
      <c r="R60" s="101">
        <f>SUM(R50:R59)</f>
        <v>3780</v>
      </c>
      <c r="S60" s="231">
        <f>SUM(S50:S59)</f>
        <v>3150</v>
      </c>
      <c r="T60" s="231">
        <f>SUM(T50:T59)</f>
        <v>3654</v>
      </c>
      <c r="U60" s="231">
        <f>SUM(U50:U59)</f>
        <v>-503.99999999999994</v>
      </c>
    </row>
    <row r="61" spans="1:23" x14ac:dyDescent="0.2">
      <c r="A61" s="3"/>
      <c r="C61" s="79"/>
      <c r="F61" s="79"/>
      <c r="G61" s="131"/>
      <c r="H61" s="81"/>
      <c r="J61" s="81"/>
      <c r="K61" s="81"/>
      <c r="L61" s="79"/>
      <c r="M61" s="131"/>
      <c r="N61" s="81"/>
      <c r="O61" s="81"/>
      <c r="P61" s="81"/>
      <c r="Q61" s="81"/>
      <c r="R61" s="131"/>
      <c r="S61" s="81"/>
      <c r="T61" s="81"/>
      <c r="U61" s="81"/>
    </row>
    <row r="62" spans="1:23" x14ac:dyDescent="0.2">
      <c r="A62" s="4" t="s">
        <v>84</v>
      </c>
      <c r="C62" s="79"/>
      <c r="F62" s="79"/>
      <c r="G62" s="80"/>
      <c r="H62" s="81"/>
      <c r="J62" s="81"/>
      <c r="K62" s="81"/>
      <c r="L62" s="79"/>
      <c r="M62" s="80"/>
      <c r="N62" s="81"/>
      <c r="O62" s="81"/>
      <c r="P62" s="81"/>
      <c r="Q62" s="81"/>
      <c r="R62" s="80"/>
      <c r="S62" s="81"/>
      <c r="T62" s="81"/>
      <c r="U62" s="81"/>
    </row>
    <row r="63" spans="1:23" ht="15.75" x14ac:dyDescent="0.2">
      <c r="A63" s="3" t="s">
        <v>85</v>
      </c>
      <c r="C63" s="59">
        <f t="shared" ref="C63:C70" si="63">D63-G63</f>
        <v>13</v>
      </c>
      <c r="D63" s="330">
        <v>2513</v>
      </c>
      <c r="F63" s="59">
        <f t="shared" ref="F63:F70" si="64">G63-M63</f>
        <v>0</v>
      </c>
      <c r="G63" s="80">
        <v>2500</v>
      </c>
      <c r="H63" s="86">
        <f t="shared" ref="H63:H70" si="65">G63/12*10</f>
        <v>2083.3333333333335</v>
      </c>
      <c r="I63" s="333">
        <v>2513</v>
      </c>
      <c r="J63" s="86">
        <f t="shared" ref="J63:J70" si="66">H63-I63</f>
        <v>-429.66666666666652</v>
      </c>
      <c r="K63" s="81"/>
      <c r="L63" s="61">
        <f t="shared" ref="L63:L70" si="67">M63-R63</f>
        <v>-11000</v>
      </c>
      <c r="M63" s="80">
        <v>2500</v>
      </c>
      <c r="N63" s="86">
        <f t="shared" ref="N63:N70" si="68">M63/12*10</f>
        <v>2083.3333333333335</v>
      </c>
      <c r="O63" s="81">
        <v>121</v>
      </c>
      <c r="P63" s="86">
        <f t="shared" ref="P63:P70" si="69">N63-O63</f>
        <v>1962.3333333333335</v>
      </c>
      <c r="Q63" s="81"/>
      <c r="R63" s="228">
        <v>13500</v>
      </c>
      <c r="S63" s="60">
        <f t="shared" ref="S63:S70" si="70">R63/12*10</f>
        <v>11250</v>
      </c>
      <c r="T63" s="63">
        <v>6655</v>
      </c>
      <c r="U63" s="63">
        <f t="shared" ref="U63:U70" si="71">S63-T63</f>
        <v>4595</v>
      </c>
    </row>
    <row r="64" spans="1:23" ht="15.75" x14ac:dyDescent="0.2">
      <c r="A64" s="3" t="s">
        <v>129</v>
      </c>
      <c r="C64" s="59">
        <f t="shared" si="63"/>
        <v>1680</v>
      </c>
      <c r="D64" s="330">
        <v>9360</v>
      </c>
      <c r="F64" s="59">
        <f t="shared" si="64"/>
        <v>1920</v>
      </c>
      <c r="G64" s="80">
        <v>7680</v>
      </c>
      <c r="H64" s="86">
        <f t="shared" si="65"/>
        <v>6400</v>
      </c>
      <c r="I64" s="333">
        <v>8361</v>
      </c>
      <c r="J64" s="86">
        <f t="shared" si="66"/>
        <v>-1961</v>
      </c>
      <c r="K64" s="81"/>
      <c r="L64" s="61">
        <f t="shared" si="67"/>
        <v>5760</v>
      </c>
      <c r="M64" s="80">
        <v>5760</v>
      </c>
      <c r="N64" s="86">
        <f t="shared" si="68"/>
        <v>4800</v>
      </c>
      <c r="O64" s="81">
        <v>9132.33</v>
      </c>
      <c r="P64" s="86">
        <f t="shared" si="69"/>
        <v>-4332.33</v>
      </c>
      <c r="Q64" s="81"/>
      <c r="R64" s="228">
        <v>0</v>
      </c>
      <c r="S64" s="60">
        <f t="shared" si="70"/>
        <v>0</v>
      </c>
      <c r="T64" s="63">
        <v>4315</v>
      </c>
      <c r="U64" s="63">
        <f t="shared" si="71"/>
        <v>-4315</v>
      </c>
      <c r="W64" s="198" t="s">
        <v>349</v>
      </c>
    </row>
    <row r="65" spans="1:24" ht="15.75" x14ac:dyDescent="0.2">
      <c r="A65" s="3" t="s">
        <v>139</v>
      </c>
      <c r="C65" s="59">
        <f t="shared" si="63"/>
        <v>-450</v>
      </c>
      <c r="D65" s="330">
        <v>200</v>
      </c>
      <c r="F65" s="59">
        <f t="shared" si="64"/>
        <v>530</v>
      </c>
      <c r="G65" s="80">
        <v>650</v>
      </c>
      <c r="H65" s="86">
        <f t="shared" si="65"/>
        <v>541.66666666666663</v>
      </c>
      <c r="I65" s="333">
        <v>795</v>
      </c>
      <c r="J65" s="86">
        <f t="shared" si="66"/>
        <v>-253.33333333333337</v>
      </c>
      <c r="K65" s="81"/>
      <c r="L65" s="61">
        <f t="shared" si="67"/>
        <v>-2380</v>
      </c>
      <c r="M65" s="80">
        <v>120</v>
      </c>
      <c r="N65" s="86">
        <f t="shared" si="68"/>
        <v>100</v>
      </c>
      <c r="O65" s="81">
        <v>821.21</v>
      </c>
      <c r="P65" s="86">
        <f t="shared" si="69"/>
        <v>-721.21</v>
      </c>
      <c r="Q65" s="81"/>
      <c r="R65" s="80">
        <v>2500</v>
      </c>
      <c r="S65" s="60">
        <f t="shared" si="70"/>
        <v>2083.3333333333335</v>
      </c>
      <c r="T65" s="63">
        <v>3394</v>
      </c>
      <c r="U65" s="63">
        <f t="shared" si="71"/>
        <v>-1310.6666666666665</v>
      </c>
    </row>
    <row r="66" spans="1:24" ht="15.75" x14ac:dyDescent="0.2">
      <c r="A66" s="3" t="s">
        <v>86</v>
      </c>
      <c r="C66" s="59">
        <f t="shared" si="63"/>
        <v>0</v>
      </c>
      <c r="D66" s="330">
        <v>1500</v>
      </c>
      <c r="F66" s="59">
        <f t="shared" si="64"/>
        <v>0</v>
      </c>
      <c r="G66" s="80">
        <v>1500</v>
      </c>
      <c r="H66" s="86">
        <f t="shared" si="65"/>
        <v>1250</v>
      </c>
      <c r="I66" s="333">
        <v>363</v>
      </c>
      <c r="J66" s="86">
        <f t="shared" si="66"/>
        <v>887</v>
      </c>
      <c r="K66" s="81"/>
      <c r="L66" s="61">
        <f t="shared" si="67"/>
        <v>0</v>
      </c>
      <c r="M66" s="80">
        <v>1500</v>
      </c>
      <c r="N66" s="86">
        <f t="shared" si="68"/>
        <v>1250</v>
      </c>
      <c r="O66" s="81">
        <v>483</v>
      </c>
      <c r="P66" s="86">
        <f t="shared" si="69"/>
        <v>767</v>
      </c>
      <c r="Q66" s="81"/>
      <c r="R66" s="228">
        <v>1500</v>
      </c>
      <c r="S66" s="60">
        <f t="shared" si="70"/>
        <v>1250</v>
      </c>
      <c r="T66" s="63">
        <v>1725</v>
      </c>
      <c r="U66" s="63">
        <f t="shared" si="71"/>
        <v>-475</v>
      </c>
      <c r="W66" s="198" t="s">
        <v>110</v>
      </c>
    </row>
    <row r="67" spans="1:24" ht="15.75" x14ac:dyDescent="0.2">
      <c r="A67" s="3" t="s">
        <v>87</v>
      </c>
      <c r="C67" s="59">
        <f t="shared" si="63"/>
        <v>0</v>
      </c>
      <c r="D67" s="330">
        <v>0</v>
      </c>
      <c r="F67" s="59">
        <f t="shared" si="64"/>
        <v>0</v>
      </c>
      <c r="G67" s="80">
        <v>0</v>
      </c>
      <c r="H67" s="86">
        <f t="shared" si="65"/>
        <v>0</v>
      </c>
      <c r="I67" s="333">
        <v>0</v>
      </c>
      <c r="J67" s="86">
        <f t="shared" si="66"/>
        <v>0</v>
      </c>
      <c r="K67" s="81"/>
      <c r="L67" s="61">
        <f t="shared" si="67"/>
        <v>-3000</v>
      </c>
      <c r="M67" s="80">
        <v>0</v>
      </c>
      <c r="N67" s="86">
        <f t="shared" si="68"/>
        <v>0</v>
      </c>
      <c r="O67" s="81">
        <v>0</v>
      </c>
      <c r="P67" s="86">
        <f t="shared" si="69"/>
        <v>0</v>
      </c>
      <c r="Q67" s="81"/>
      <c r="R67" s="80">
        <v>3000</v>
      </c>
      <c r="S67" s="60">
        <f t="shared" si="70"/>
        <v>2500</v>
      </c>
      <c r="T67" s="63">
        <v>0</v>
      </c>
      <c r="U67" s="63">
        <f t="shared" si="71"/>
        <v>2500</v>
      </c>
      <c r="W67" s="198" t="s">
        <v>119</v>
      </c>
    </row>
    <row r="68" spans="1:24" ht="15.75" x14ac:dyDescent="0.2">
      <c r="A68" s="234" t="s">
        <v>19</v>
      </c>
      <c r="C68" s="59">
        <f t="shared" si="63"/>
        <v>0</v>
      </c>
      <c r="D68" s="330">
        <v>200</v>
      </c>
      <c r="F68" s="59">
        <f t="shared" si="64"/>
        <v>0</v>
      </c>
      <c r="G68" s="80">
        <v>200</v>
      </c>
      <c r="H68" s="86">
        <f t="shared" si="65"/>
        <v>166.66666666666669</v>
      </c>
      <c r="I68" s="333">
        <v>150</v>
      </c>
      <c r="J68" s="86">
        <f t="shared" si="66"/>
        <v>16.666666666666686</v>
      </c>
      <c r="K68" s="81"/>
      <c r="L68" s="61">
        <f t="shared" si="67"/>
        <v>200</v>
      </c>
      <c r="M68" s="80">
        <v>200</v>
      </c>
      <c r="N68" s="86">
        <f t="shared" si="68"/>
        <v>166.66666666666669</v>
      </c>
      <c r="O68" s="81">
        <v>179.3</v>
      </c>
      <c r="P68" s="86">
        <f t="shared" si="69"/>
        <v>-12.633333333333326</v>
      </c>
      <c r="Q68" s="81"/>
      <c r="R68" s="80">
        <v>0</v>
      </c>
      <c r="S68" s="60">
        <f t="shared" si="70"/>
        <v>0</v>
      </c>
      <c r="T68" s="63">
        <v>87</v>
      </c>
      <c r="U68" s="63">
        <f t="shared" si="71"/>
        <v>-87</v>
      </c>
      <c r="W68" s="198" t="s">
        <v>130</v>
      </c>
    </row>
    <row r="69" spans="1:24" ht="15.75" x14ac:dyDescent="0.2">
      <c r="A69" s="234" t="s">
        <v>88</v>
      </c>
      <c r="C69" s="59">
        <f t="shared" si="63"/>
        <v>0</v>
      </c>
      <c r="D69" s="330">
        <v>0</v>
      </c>
      <c r="F69" s="59">
        <f t="shared" si="64"/>
        <v>0</v>
      </c>
      <c r="G69" s="80">
        <v>0</v>
      </c>
      <c r="H69" s="86">
        <f t="shared" si="65"/>
        <v>0</v>
      </c>
      <c r="I69" s="333">
        <v>0</v>
      </c>
      <c r="J69" s="86">
        <f t="shared" si="66"/>
        <v>0</v>
      </c>
      <c r="K69" s="81"/>
      <c r="L69" s="61">
        <f t="shared" si="67"/>
        <v>0</v>
      </c>
      <c r="M69" s="80">
        <v>0</v>
      </c>
      <c r="N69" s="86">
        <f t="shared" si="68"/>
        <v>0</v>
      </c>
      <c r="O69" s="81">
        <v>0</v>
      </c>
      <c r="P69" s="86">
        <f t="shared" si="69"/>
        <v>0</v>
      </c>
      <c r="Q69" s="81"/>
      <c r="R69" s="80">
        <v>0</v>
      </c>
      <c r="S69" s="60">
        <f t="shared" si="70"/>
        <v>0</v>
      </c>
      <c r="T69" s="63">
        <v>0</v>
      </c>
      <c r="U69" s="63">
        <f t="shared" si="71"/>
        <v>0</v>
      </c>
      <c r="W69" s="198" t="s">
        <v>108</v>
      </c>
    </row>
    <row r="70" spans="1:24" ht="15.75" x14ac:dyDescent="0.2">
      <c r="A70" s="3" t="s">
        <v>103</v>
      </c>
      <c r="C70" s="59">
        <f t="shared" si="63"/>
        <v>54</v>
      </c>
      <c r="D70" s="330">
        <v>234</v>
      </c>
      <c r="F70" s="59">
        <f t="shared" si="64"/>
        <v>0</v>
      </c>
      <c r="G70" s="80">
        <v>180</v>
      </c>
      <c r="H70" s="86">
        <f t="shared" si="65"/>
        <v>150</v>
      </c>
      <c r="I70" s="333">
        <v>234</v>
      </c>
      <c r="J70" s="86">
        <f t="shared" si="66"/>
        <v>-84</v>
      </c>
      <c r="K70" s="81"/>
      <c r="L70" s="61">
        <f t="shared" si="67"/>
        <v>0</v>
      </c>
      <c r="M70" s="80">
        <v>180</v>
      </c>
      <c r="N70" s="86">
        <f t="shared" si="68"/>
        <v>150</v>
      </c>
      <c r="O70" s="81">
        <v>180</v>
      </c>
      <c r="P70" s="86">
        <f t="shared" si="69"/>
        <v>-30</v>
      </c>
      <c r="Q70" s="81"/>
      <c r="R70" s="80">
        <v>180</v>
      </c>
      <c r="S70" s="60">
        <f t="shared" si="70"/>
        <v>150</v>
      </c>
      <c r="T70" s="63">
        <v>180</v>
      </c>
      <c r="U70" s="63">
        <f t="shared" si="71"/>
        <v>-30</v>
      </c>
      <c r="W70" s="198" t="s">
        <v>327</v>
      </c>
    </row>
    <row r="71" spans="1:24" x14ac:dyDescent="0.2">
      <c r="A71" s="3"/>
      <c r="C71" s="79"/>
      <c r="F71" s="79"/>
      <c r="G71" s="80"/>
      <c r="H71" s="81"/>
      <c r="J71" s="81"/>
      <c r="K71" s="81"/>
      <c r="L71" s="79"/>
      <c r="M71" s="80"/>
      <c r="N71" s="81"/>
      <c r="O71" s="81"/>
      <c r="P71" s="81"/>
      <c r="Q71" s="81"/>
      <c r="R71" s="80"/>
      <c r="S71" s="81"/>
      <c r="T71" s="81"/>
      <c r="U71" s="81"/>
      <c r="X71" s="19"/>
    </row>
    <row r="72" spans="1:24" ht="15.75" thickBot="1" x14ac:dyDescent="0.25">
      <c r="A72" s="181" t="s">
        <v>181</v>
      </c>
      <c r="C72" s="230">
        <f t="shared" ref="C72" si="72">SUM(C62:C71)</f>
        <v>1297</v>
      </c>
      <c r="D72" s="101">
        <f t="shared" ref="D72" si="73">SUM(D62:D71)</f>
        <v>14007</v>
      </c>
      <c r="E72" s="131"/>
      <c r="F72" s="230">
        <f>SUM(F62:F71)</f>
        <v>2450</v>
      </c>
      <c r="G72" s="101">
        <f>SUM(G62:G71)</f>
        <v>12710</v>
      </c>
      <c r="H72" s="231">
        <f t="shared" ref="H72" si="74">SUM(H62:H71)</f>
        <v>10591.666666666666</v>
      </c>
      <c r="I72" s="231">
        <f t="shared" ref="I72:J72" si="75">SUM(I62:I71)</f>
        <v>12416</v>
      </c>
      <c r="J72" s="231">
        <f t="shared" si="75"/>
        <v>-1824.3333333333333</v>
      </c>
      <c r="K72" s="81"/>
      <c r="L72" s="230">
        <f t="shared" ref="L72:P72" si="76">SUM(L62:L71)</f>
        <v>-10420</v>
      </c>
      <c r="M72" s="101">
        <f t="shared" si="76"/>
        <v>10260</v>
      </c>
      <c r="N72" s="231">
        <f t="shared" si="76"/>
        <v>8550</v>
      </c>
      <c r="O72" s="231">
        <f t="shared" si="76"/>
        <v>10916.84</v>
      </c>
      <c r="P72" s="231">
        <f t="shared" si="76"/>
        <v>-2366.8399999999997</v>
      </c>
      <c r="Q72" s="81"/>
      <c r="R72" s="101">
        <f>SUM(R62:R71)</f>
        <v>20680</v>
      </c>
      <c r="S72" s="231">
        <f t="shared" ref="S72:U72" si="77">SUM(S62:S71)</f>
        <v>17233.333333333336</v>
      </c>
      <c r="T72" s="231">
        <f t="shared" si="77"/>
        <v>16356</v>
      </c>
      <c r="U72" s="231">
        <f t="shared" si="77"/>
        <v>877.33333333333348</v>
      </c>
    </row>
    <row r="73" spans="1:24" ht="15.75" thickBot="1" x14ac:dyDescent="0.25">
      <c r="A73" s="3"/>
      <c r="C73" s="79"/>
      <c r="F73" s="79"/>
      <c r="G73" s="131"/>
      <c r="H73" s="81"/>
      <c r="I73" s="81"/>
      <c r="J73" s="81"/>
      <c r="K73" s="81"/>
      <c r="L73" s="79"/>
      <c r="M73" s="235"/>
      <c r="N73" s="81"/>
      <c r="O73" s="81"/>
      <c r="P73" s="81"/>
      <c r="Q73" s="81"/>
      <c r="R73" s="101"/>
      <c r="S73" s="81"/>
      <c r="T73" s="81"/>
      <c r="U73" s="81"/>
    </row>
    <row r="74" spans="1:24" ht="15.75" thickBot="1" x14ac:dyDescent="0.25">
      <c r="A74" s="181" t="s">
        <v>169</v>
      </c>
      <c r="B74" s="9"/>
      <c r="C74" s="230">
        <f>C16+C29+C37+C48+C60+C72</f>
        <v>3106.0699999999988</v>
      </c>
      <c r="D74" s="101">
        <f>D16+D29+D37+D48+D60+D72</f>
        <v>138148.91999999998</v>
      </c>
      <c r="E74" s="131"/>
      <c r="F74" s="230">
        <f>F16+F29+F37+F48+F60+F72</f>
        <v>4837.8499999999995</v>
      </c>
      <c r="G74" s="101">
        <f>G16+G29+G37+G48+G60+G72</f>
        <v>134792.84999999998</v>
      </c>
      <c r="H74" s="231">
        <f>H16+H29+H37+H48+H60+H72</f>
        <v>112327.37499999999</v>
      </c>
      <c r="I74" s="231">
        <f>I16+I29+I37+I48+I60+I72</f>
        <v>106466</v>
      </c>
      <c r="J74" s="231">
        <f>J16+J29+J37+J48+J60+J72</f>
        <v>6953.3749999999936</v>
      </c>
      <c r="K74" s="81"/>
      <c r="L74" s="230">
        <f>L16+L29+L37+L48+L60+L72</f>
        <v>11365</v>
      </c>
      <c r="M74" s="101">
        <f>M16+M29+M37+M48+M60+M72</f>
        <v>129955</v>
      </c>
      <c r="N74" s="231">
        <f>N16+N29+N37+N48+N60+N72</f>
        <v>108295.83333333333</v>
      </c>
      <c r="O74" s="231">
        <f>O16+O29+O37+O48+O60+O72</f>
        <v>101958.37000000001</v>
      </c>
      <c r="P74" s="231">
        <f>P16+P29+P37+P48+P60+P72</f>
        <v>6337.4633333333331</v>
      </c>
      <c r="Q74" s="81"/>
      <c r="R74" s="101">
        <f>R16+R29+R37+R48+R60+R72</f>
        <v>118590</v>
      </c>
      <c r="S74" s="231">
        <f>S16+S29+S37+S48+S60+S72</f>
        <v>98825</v>
      </c>
      <c r="T74" s="231">
        <f>T16+T29+T37+T48+T60+T72</f>
        <v>112801</v>
      </c>
      <c r="U74" s="231">
        <f>U16+U29+U37+U48+U60+U72</f>
        <v>-13975.999999999998</v>
      </c>
    </row>
    <row r="75" spans="1:24" x14ac:dyDescent="0.2">
      <c r="A75" s="9"/>
      <c r="B75" s="9"/>
      <c r="C75" s="107"/>
      <c r="D75" s="304"/>
      <c r="E75" s="304"/>
      <c r="F75" s="107"/>
      <c r="G75" s="80"/>
      <c r="H75" s="81"/>
      <c r="I75" s="81"/>
      <c r="J75" s="81"/>
      <c r="K75" s="81"/>
      <c r="L75" s="79"/>
      <c r="M75" s="80"/>
      <c r="N75" s="81"/>
      <c r="O75" s="81"/>
      <c r="P75" s="81"/>
      <c r="Q75" s="81"/>
      <c r="R75" s="80"/>
      <c r="S75" s="81"/>
      <c r="T75" s="81"/>
      <c r="U75" s="81"/>
    </row>
    <row r="76" spans="1:24" ht="15.75" x14ac:dyDescent="0.2">
      <c r="A76" s="10" t="s">
        <v>100</v>
      </c>
      <c r="B76" s="10"/>
      <c r="C76" s="59">
        <f>D76-G76</f>
        <v>-1275</v>
      </c>
      <c r="D76" s="363">
        <f>Reserves!F5</f>
        <v>7225</v>
      </c>
      <c r="E76" s="305"/>
      <c r="F76" s="59">
        <f>G76-M76</f>
        <v>0</v>
      </c>
      <c r="G76" s="80">
        <v>8500</v>
      </c>
      <c r="H76" s="86">
        <f t="shared" ref="H76" si="78">G76/12*10</f>
        <v>7083.3333333333339</v>
      </c>
      <c r="I76" s="332"/>
      <c r="J76" s="86">
        <f>H76-I76</f>
        <v>7083.3333333333339</v>
      </c>
      <c r="K76" s="81"/>
      <c r="L76" s="61">
        <f t="shared" ref="L76" si="79">M76-R76</f>
        <v>0</v>
      </c>
      <c r="M76" s="80">
        <v>8500</v>
      </c>
      <c r="N76" s="86">
        <f t="shared" ref="N76" si="80">M76/12*10</f>
        <v>7083.3333333333339</v>
      </c>
      <c r="O76" s="81"/>
      <c r="P76" s="86">
        <f>N76-O76</f>
        <v>7083.3333333333339</v>
      </c>
      <c r="Q76" s="81"/>
      <c r="R76" s="80">
        <v>8500</v>
      </c>
      <c r="S76" s="60">
        <f t="shared" ref="S76" si="81">R76/12*10</f>
        <v>7083.3333333333339</v>
      </c>
      <c r="T76" s="63">
        <v>6375</v>
      </c>
      <c r="U76" s="63">
        <f t="shared" ref="U76" si="82">S76-T76</f>
        <v>708.33333333333394</v>
      </c>
    </row>
    <row r="77" spans="1:24" x14ac:dyDescent="0.2">
      <c r="A77" s="10"/>
      <c r="B77" s="10"/>
      <c r="C77" s="84"/>
      <c r="D77" s="305"/>
      <c r="E77" s="305"/>
      <c r="F77" s="84"/>
      <c r="G77" s="80"/>
      <c r="H77" s="81"/>
      <c r="J77" s="81"/>
      <c r="K77" s="81"/>
      <c r="L77" s="79"/>
      <c r="M77" s="80"/>
      <c r="N77" s="81"/>
      <c r="O77" s="81"/>
      <c r="P77" s="81"/>
      <c r="Q77" s="81"/>
      <c r="R77" s="80"/>
      <c r="S77" s="81"/>
      <c r="T77" s="81"/>
      <c r="U77" s="81"/>
    </row>
    <row r="78" spans="1:24" ht="15.75" thickBot="1" x14ac:dyDescent="0.25">
      <c r="A78" s="181" t="s">
        <v>1</v>
      </c>
      <c r="B78" s="9"/>
      <c r="C78" s="88">
        <f>SUM(C74:C77)</f>
        <v>1831.0699999999988</v>
      </c>
      <c r="D78" s="89">
        <f>SUM(D74:D77)</f>
        <v>145373.91999999998</v>
      </c>
      <c r="E78" s="103"/>
      <c r="F78" s="88">
        <f>SUM(F74:F77)</f>
        <v>4837.8499999999995</v>
      </c>
      <c r="G78" s="89">
        <f>SUM(G74:G77)</f>
        <v>143292.84999999998</v>
      </c>
      <c r="H78" s="91">
        <f t="shared" ref="H78:I78" si="83">SUM(H74:H77)</f>
        <v>119410.70833333331</v>
      </c>
      <c r="I78" s="91">
        <f t="shared" si="83"/>
        <v>106466</v>
      </c>
      <c r="J78" s="91">
        <f t="shared" ref="J78" si="84">SUM(J74:J77)</f>
        <v>14036.708333333328</v>
      </c>
      <c r="K78" s="81"/>
      <c r="L78" s="88">
        <f t="shared" ref="L78:P78" si="85">SUM(L74:L77)</f>
        <v>11365</v>
      </c>
      <c r="M78" s="89">
        <f t="shared" si="85"/>
        <v>138455</v>
      </c>
      <c r="N78" s="91">
        <f t="shared" si="85"/>
        <v>115379.16666666666</v>
      </c>
      <c r="O78" s="91">
        <f t="shared" si="85"/>
        <v>101958.37000000001</v>
      </c>
      <c r="P78" s="91">
        <f t="shared" si="85"/>
        <v>13420.796666666667</v>
      </c>
      <c r="Q78" s="81"/>
      <c r="R78" s="89">
        <f t="shared" ref="R78:U78" si="86">SUM(R74:R77)</f>
        <v>127090</v>
      </c>
      <c r="S78" s="91">
        <f t="shared" si="86"/>
        <v>105908.33333333333</v>
      </c>
      <c r="T78" s="91">
        <f t="shared" si="86"/>
        <v>119176</v>
      </c>
      <c r="U78" s="91">
        <f t="shared" si="86"/>
        <v>-13267.666666666664</v>
      </c>
      <c r="W78" s="158">
        <f>SUM(B78:V78)</f>
        <v>1254734.1066666665</v>
      </c>
      <c r="X78" s="159" t="s">
        <v>174</v>
      </c>
    </row>
    <row r="79" spans="1:24" x14ac:dyDescent="0.2">
      <c r="C79" s="295"/>
      <c r="F79" s="198"/>
      <c r="G79" s="198"/>
    </row>
    <row r="80" spans="1:24" x14ac:dyDescent="0.2">
      <c r="A80" s="198" t="s">
        <v>166</v>
      </c>
      <c r="B80" s="198"/>
      <c r="C80" s="100">
        <f>Summary!$C$25</f>
        <v>1.7000000000000001E-2</v>
      </c>
      <c r="D80" s="306"/>
      <c r="E80" s="306"/>
      <c r="F80" s="198"/>
      <c r="G80" s="198"/>
      <c r="H80" s="306"/>
    </row>
    <row r="81" spans="1:17" x14ac:dyDescent="0.2">
      <c r="B81" s="198"/>
      <c r="C81" s="295"/>
      <c r="D81" s="306"/>
      <c r="E81" s="306"/>
      <c r="F81" s="100"/>
      <c r="G81" s="198"/>
      <c r="H81" s="306"/>
      <c r="L81" s="81"/>
      <c r="N81" s="81"/>
    </row>
    <row r="82" spans="1:17" s="14" customFormat="1" ht="18.75" x14ac:dyDescent="0.25">
      <c r="A82" s="351" t="s">
        <v>267</v>
      </c>
      <c r="B82" s="352"/>
      <c r="C82" s="353" t="s">
        <v>236</v>
      </c>
      <c r="D82" s="354" t="s">
        <v>237</v>
      </c>
      <c r="E82" s="184"/>
      <c r="F82" s="356" t="s">
        <v>268</v>
      </c>
      <c r="G82" s="355"/>
      <c r="H82" s="355"/>
      <c r="L82" s="184"/>
      <c r="M82" s="90"/>
    </row>
    <row r="83" spans="1:17" x14ac:dyDescent="0.2">
      <c r="A83" s="236" t="s">
        <v>309</v>
      </c>
      <c r="B83" s="237"/>
      <c r="C83" s="239" t="s">
        <v>310</v>
      </c>
      <c r="D83" s="239"/>
      <c r="E83" s="295"/>
      <c r="F83" s="295"/>
    </row>
    <row r="84" spans="1:17" ht="45" x14ac:dyDescent="0.2">
      <c r="A84" s="368" t="s">
        <v>312</v>
      </c>
      <c r="B84" s="237"/>
      <c r="C84" s="239">
        <v>2790</v>
      </c>
      <c r="D84" s="239"/>
      <c r="E84" s="295"/>
      <c r="F84" s="295" t="s">
        <v>326</v>
      </c>
      <c r="I84" s="19"/>
    </row>
    <row r="85" spans="1:17" s="295" customFormat="1" ht="45" x14ac:dyDescent="0.2">
      <c r="A85" s="368" t="s">
        <v>314</v>
      </c>
      <c r="B85" s="237"/>
      <c r="C85" s="239">
        <v>38400</v>
      </c>
      <c r="D85" s="239"/>
      <c r="F85" s="295" t="s">
        <v>313</v>
      </c>
      <c r="G85" s="303"/>
      <c r="H85" s="303"/>
      <c r="I85" s="19"/>
    </row>
    <row r="86" spans="1:17" s="295" customFormat="1" ht="30" x14ac:dyDescent="0.2">
      <c r="A86" s="368" t="s">
        <v>315</v>
      </c>
      <c r="B86" s="237"/>
      <c r="C86" s="239">
        <v>2160</v>
      </c>
      <c r="D86" s="239"/>
      <c r="F86" s="295" t="s">
        <v>311</v>
      </c>
      <c r="G86" s="303"/>
      <c r="H86" s="303"/>
      <c r="I86" s="19"/>
    </row>
    <row r="87" spans="1:17" x14ac:dyDescent="0.2">
      <c r="A87" s="192" t="s">
        <v>289</v>
      </c>
      <c r="B87" s="237"/>
      <c r="C87" s="238">
        <v>800</v>
      </c>
      <c r="D87" s="239"/>
      <c r="E87" s="295"/>
      <c r="F87" s="295" t="s">
        <v>305</v>
      </c>
      <c r="I87" s="19"/>
    </row>
    <row r="88" spans="1:17" ht="45" x14ac:dyDescent="0.2">
      <c r="A88" s="368" t="s">
        <v>296</v>
      </c>
      <c r="B88" s="237"/>
      <c r="C88" s="238">
        <v>600</v>
      </c>
      <c r="D88" s="239"/>
      <c r="E88" s="295"/>
      <c r="F88" s="295"/>
      <c r="Q88" s="19"/>
    </row>
    <row r="89" spans="1:17" x14ac:dyDescent="0.25">
      <c r="A89" s="194" t="s">
        <v>325</v>
      </c>
      <c r="B89" s="193"/>
      <c r="C89" s="191" t="s">
        <v>310</v>
      </c>
      <c r="D89" s="191"/>
      <c r="E89" s="295"/>
      <c r="F89" s="295" t="s">
        <v>350</v>
      </c>
      <c r="K89" s="148"/>
    </row>
    <row r="90" spans="1:17" x14ac:dyDescent="0.25">
      <c r="A90" s="194"/>
      <c r="B90" s="193"/>
      <c r="C90" s="191"/>
      <c r="D90" s="191"/>
      <c r="E90" s="295"/>
      <c r="F90" s="295"/>
      <c r="K90" s="148"/>
    </row>
    <row r="91" spans="1:17" x14ac:dyDescent="0.2">
      <c r="A91" s="240" t="s">
        <v>201</v>
      </c>
      <c r="B91" s="241"/>
      <c r="C91" s="242">
        <f>SUM(C83:C90)</f>
        <v>44750</v>
      </c>
      <c r="D91" s="242">
        <f>SUM(D83:D90)</f>
        <v>0</v>
      </c>
      <c r="E91" s="19"/>
      <c r="F91" s="19"/>
      <c r="L91" s="19"/>
    </row>
    <row r="92" spans="1:17" x14ac:dyDescent="0.2">
      <c r="E92" s="295"/>
      <c r="F92" s="295"/>
      <c r="G92" s="198"/>
    </row>
    <row r="93" spans="1:17" ht="30" customHeight="1" x14ac:dyDescent="0.2">
      <c r="A93" s="414"/>
      <c r="B93" s="415"/>
      <c r="C93" s="415"/>
      <c r="D93" s="415"/>
      <c r="E93" s="416"/>
      <c r="F93" s="416"/>
      <c r="G93" s="198"/>
    </row>
    <row r="94" spans="1:17" ht="30" customHeight="1" x14ac:dyDescent="0.2">
      <c r="A94" s="414"/>
      <c r="B94" s="415"/>
      <c r="C94" s="415"/>
      <c r="D94" s="415"/>
      <c r="E94" s="416"/>
      <c r="F94" s="416"/>
      <c r="G94" s="198"/>
    </row>
    <row r="95" spans="1:17" ht="30" customHeight="1" x14ac:dyDescent="0.2">
      <c r="A95" s="414"/>
      <c r="B95" s="415"/>
      <c r="C95" s="415"/>
      <c r="D95" s="415"/>
      <c r="E95" s="416"/>
      <c r="F95" s="416"/>
      <c r="G95" s="198"/>
    </row>
    <row r="96" spans="1:17" x14ac:dyDescent="0.2">
      <c r="F96" s="198"/>
      <c r="G96" s="198"/>
    </row>
    <row r="97" spans="6:7" x14ac:dyDescent="0.2">
      <c r="F97" s="198"/>
      <c r="G97" s="198"/>
    </row>
    <row r="98" spans="6:7" x14ac:dyDescent="0.2">
      <c r="F98" s="198"/>
      <c r="G98" s="198"/>
    </row>
    <row r="99" spans="6:7" x14ac:dyDescent="0.2">
      <c r="F99" s="198"/>
      <c r="G99" s="198"/>
    </row>
    <row r="100" spans="6:7" x14ac:dyDescent="0.2">
      <c r="F100" s="198"/>
      <c r="G100" s="198"/>
    </row>
    <row r="101" spans="6:7" x14ac:dyDescent="0.2">
      <c r="F101" s="198"/>
      <c r="G101" s="198"/>
    </row>
    <row r="102" spans="6:7" x14ac:dyDescent="0.2">
      <c r="F102" s="198"/>
      <c r="G102" s="198"/>
    </row>
    <row r="103" spans="6:7" x14ac:dyDescent="0.2">
      <c r="F103" s="198"/>
      <c r="G103" s="198"/>
    </row>
    <row r="104" spans="6:7" x14ac:dyDescent="0.2">
      <c r="F104" s="198"/>
      <c r="G104" s="198"/>
    </row>
    <row r="105" spans="6:7" x14ac:dyDescent="0.2">
      <c r="F105" s="198"/>
      <c r="G105" s="198"/>
    </row>
    <row r="106" spans="6:7" x14ac:dyDescent="0.2">
      <c r="F106" s="198"/>
      <c r="G106" s="198"/>
    </row>
    <row r="107" spans="6:7" x14ac:dyDescent="0.2">
      <c r="F107" s="198"/>
      <c r="G107" s="198"/>
    </row>
  </sheetData>
  <mergeCells count="17">
    <mergeCell ref="G4:H4"/>
    <mergeCell ref="H5:J5"/>
    <mergeCell ref="F3:J3"/>
    <mergeCell ref="R3:U3"/>
    <mergeCell ref="F4:F5"/>
    <mergeCell ref="L4:L5"/>
    <mergeCell ref="M4:N4"/>
    <mergeCell ref="R4:S4"/>
    <mergeCell ref="N5:P5"/>
    <mergeCell ref="S5:U5"/>
    <mergeCell ref="L3:P3"/>
    <mergeCell ref="A93:F93"/>
    <mergeCell ref="A94:F94"/>
    <mergeCell ref="A95:F95"/>
    <mergeCell ref="C3:D3"/>
    <mergeCell ref="C4:C5"/>
    <mergeCell ref="D4:D5"/>
  </mergeCells>
  <pageMargins left="0.7" right="0.7" top="0.75" bottom="0.75" header="0.3" footer="0.3"/>
  <pageSetup paperSize="9" scale="59" orientation="landscape" horizontalDpi="4294967293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88"/>
  <sheetViews>
    <sheetView showGridLines="0" zoomScale="80" zoomScaleNormal="80" workbookViewId="0">
      <pane ySplit="5" topLeftCell="A81" activePane="bottomLeft" state="frozen"/>
      <selection pane="bottomLeft" activeCell="A88" sqref="A88:F88"/>
    </sheetView>
  </sheetViews>
  <sheetFormatPr defaultColWidth="9.140625" defaultRowHeight="15" x14ac:dyDescent="0.25"/>
  <cols>
    <col min="1" max="1" width="46.28515625" style="32" customWidth="1"/>
    <col min="2" max="2" width="2.7109375" style="32" customWidth="1"/>
    <col min="3" max="3" width="11.7109375" style="32" customWidth="1"/>
    <col min="4" max="4" width="11.7109375" style="34" customWidth="1"/>
    <col min="5" max="5" width="2.7109375" style="34" customWidth="1"/>
    <col min="6" max="8" width="11.7109375" style="34" customWidth="1"/>
    <col min="9" max="9" width="11.7109375" style="32" customWidth="1"/>
    <col min="10" max="10" width="11.7109375" style="37" customWidth="1"/>
    <col min="11" max="11" width="2.7109375" style="37" customWidth="1"/>
    <col min="12" max="15" width="11.7109375" style="37" customWidth="1"/>
    <col min="16" max="16" width="11.7109375" style="75" customWidth="1"/>
    <col min="17" max="17" width="2.7109375" style="32" customWidth="1"/>
    <col min="18" max="21" width="11.7109375" style="32" customWidth="1"/>
    <col min="22" max="22" width="2.7109375" style="32" customWidth="1"/>
    <col min="23" max="23" width="9.140625" style="75" customWidth="1"/>
    <col min="24" max="16384" width="9.140625" style="32"/>
  </cols>
  <sheetData>
    <row r="1" spans="1:23" ht="18.75" x14ac:dyDescent="0.25">
      <c r="A1" s="53" t="s">
        <v>126</v>
      </c>
      <c r="B1" s="54"/>
      <c r="C1" s="54"/>
      <c r="D1" s="301"/>
      <c r="E1" s="301"/>
      <c r="F1" s="301"/>
      <c r="G1" s="301"/>
      <c r="H1" s="301"/>
      <c r="I1" s="55"/>
      <c r="J1" s="55"/>
      <c r="K1" s="55"/>
      <c r="L1" s="55"/>
      <c r="M1" s="54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x14ac:dyDescent="0.25">
      <c r="B2" s="55"/>
      <c r="C2" s="55"/>
      <c r="D2" s="302"/>
      <c r="E2" s="302"/>
      <c r="F2" s="302"/>
      <c r="G2" s="302"/>
      <c r="H2" s="302"/>
      <c r="I2" s="55"/>
      <c r="J2" s="55"/>
      <c r="K2" s="55"/>
      <c r="L2" s="55"/>
      <c r="M2" s="54"/>
      <c r="N2" s="295"/>
      <c r="O2" s="295"/>
      <c r="P2" s="295"/>
      <c r="Q2" s="295"/>
      <c r="R2" s="295"/>
      <c r="S2" s="295"/>
      <c r="T2" s="295"/>
      <c r="U2" s="295"/>
      <c r="V2" s="295"/>
      <c r="W2" s="295"/>
    </row>
    <row r="3" spans="1:23" s="132" customFormat="1" ht="21" x14ac:dyDescent="0.25">
      <c r="A3" s="56" t="s">
        <v>89</v>
      </c>
      <c r="B3" s="334"/>
      <c r="C3" s="403">
        <v>2020</v>
      </c>
      <c r="D3" s="404"/>
      <c r="E3" s="335"/>
      <c r="F3" s="403">
        <v>2019</v>
      </c>
      <c r="G3" s="405"/>
      <c r="H3" s="423"/>
      <c r="I3" s="423"/>
      <c r="J3" s="424"/>
      <c r="K3" s="335"/>
      <c r="L3" s="403">
        <v>2018</v>
      </c>
      <c r="M3" s="423"/>
      <c r="N3" s="423"/>
      <c r="O3" s="423"/>
      <c r="P3" s="424"/>
      <c r="Q3" s="334"/>
      <c r="R3" s="403">
        <v>2017</v>
      </c>
      <c r="S3" s="405"/>
      <c r="T3" s="405"/>
      <c r="U3" s="404"/>
      <c r="V3" s="335"/>
      <c r="W3" s="336" t="s">
        <v>98</v>
      </c>
    </row>
    <row r="4" spans="1:23" x14ac:dyDescent="0.25">
      <c r="A4" s="23"/>
      <c r="B4" s="23"/>
      <c r="C4" s="420" t="s">
        <v>261</v>
      </c>
      <c r="D4" s="401" t="s">
        <v>44</v>
      </c>
      <c r="E4" s="290"/>
      <c r="F4" s="420" t="s">
        <v>165</v>
      </c>
      <c r="G4" s="419" t="s">
        <v>163</v>
      </c>
      <c r="H4" s="419"/>
      <c r="I4" s="326" t="s">
        <v>118</v>
      </c>
      <c r="J4" s="292" t="s">
        <v>97</v>
      </c>
      <c r="K4" s="292"/>
      <c r="L4" s="420" t="s">
        <v>164</v>
      </c>
      <c r="M4" s="409" t="s">
        <v>163</v>
      </c>
      <c r="N4" s="409"/>
      <c r="O4" s="24" t="s">
        <v>118</v>
      </c>
      <c r="P4" s="24" t="s">
        <v>97</v>
      </c>
      <c r="Q4" s="23"/>
      <c r="R4" s="409" t="s">
        <v>163</v>
      </c>
      <c r="S4" s="422"/>
      <c r="T4" s="24" t="s">
        <v>118</v>
      </c>
      <c r="U4" s="24" t="s">
        <v>97</v>
      </c>
      <c r="V4" s="24"/>
      <c r="W4" s="14"/>
    </row>
    <row r="5" spans="1:23" x14ac:dyDescent="0.25">
      <c r="A5" s="23"/>
      <c r="B5" s="23"/>
      <c r="C5" s="426"/>
      <c r="D5" s="402"/>
      <c r="E5" s="291"/>
      <c r="F5" s="426"/>
      <c r="G5" s="26" t="s">
        <v>161</v>
      </c>
      <c r="H5" s="409" t="s">
        <v>162</v>
      </c>
      <c r="I5" s="408"/>
      <c r="J5" s="408"/>
      <c r="K5" s="293"/>
      <c r="L5" s="421"/>
      <c r="M5" s="26" t="s">
        <v>161</v>
      </c>
      <c r="N5" s="409" t="s">
        <v>162</v>
      </c>
      <c r="O5" s="408"/>
      <c r="P5" s="408"/>
      <c r="Q5" s="23"/>
      <c r="R5" s="26" t="s">
        <v>161</v>
      </c>
      <c r="S5" s="409" t="s">
        <v>162</v>
      </c>
      <c r="T5" s="408"/>
      <c r="U5" s="408"/>
      <c r="V5" s="24"/>
      <c r="W5" s="14"/>
    </row>
    <row r="6" spans="1:23" x14ac:dyDescent="0.25">
      <c r="F6" s="115"/>
      <c r="G6" s="116"/>
      <c r="J6" s="117"/>
      <c r="K6" s="117"/>
      <c r="L6" s="115"/>
      <c r="M6" s="116"/>
      <c r="N6" s="117"/>
      <c r="O6" s="117"/>
      <c r="P6" s="118"/>
      <c r="Q6" s="117"/>
      <c r="R6" s="116"/>
      <c r="S6" s="117"/>
      <c r="T6" s="117"/>
      <c r="U6" s="117"/>
    </row>
    <row r="7" spans="1:23" x14ac:dyDescent="0.25">
      <c r="A7" s="49" t="s">
        <v>32</v>
      </c>
      <c r="C7" s="115"/>
      <c r="F7" s="115"/>
      <c r="G7" s="116"/>
      <c r="J7" s="117"/>
      <c r="K7" s="117"/>
      <c r="L7" s="115"/>
      <c r="M7" s="116"/>
      <c r="N7" s="117"/>
      <c r="O7" s="117"/>
      <c r="P7" s="118"/>
      <c r="Q7" s="117"/>
      <c r="R7" s="116"/>
      <c r="S7" s="117"/>
      <c r="T7" s="117"/>
      <c r="U7" s="117"/>
      <c r="W7" s="119"/>
    </row>
    <row r="8" spans="1:23" ht="15.75" x14ac:dyDescent="0.25">
      <c r="A8" s="50" t="s">
        <v>145</v>
      </c>
      <c r="C8" s="59">
        <f>D8-G8</f>
        <v>690</v>
      </c>
      <c r="D8" s="328">
        <v>1380</v>
      </c>
      <c r="F8" s="59">
        <f>G8-M8</f>
        <v>690</v>
      </c>
      <c r="G8" s="116">
        <v>690</v>
      </c>
      <c r="H8" s="60">
        <f t="shared" ref="H8:H12" si="0">G8/12*10</f>
        <v>575</v>
      </c>
      <c r="I8" s="327">
        <v>730</v>
      </c>
      <c r="J8" s="60">
        <f t="shared" ref="J8:J12" si="1">H8-I8</f>
        <v>-155</v>
      </c>
      <c r="K8" s="63"/>
      <c r="L8" s="61">
        <f t="shared" ref="L8:L12" si="2">M8-R8</f>
        <v>-1000</v>
      </c>
      <c r="M8" s="116">
        <v>0</v>
      </c>
      <c r="N8" s="60">
        <f t="shared" ref="N8:N12" si="3">M8/12*10</f>
        <v>0</v>
      </c>
      <c r="O8" s="60">
        <v>0</v>
      </c>
      <c r="P8" s="60">
        <f t="shared" ref="P8:P12" si="4">N8-O8</f>
        <v>0</v>
      </c>
      <c r="Q8" s="117"/>
      <c r="R8" s="116">
        <v>1000</v>
      </c>
      <c r="S8" s="60">
        <f t="shared" ref="S8:S12" si="5">R8/12*10</f>
        <v>833.33333333333326</v>
      </c>
      <c r="T8" s="117">
        <v>630.78</v>
      </c>
      <c r="U8" s="63">
        <f t="shared" ref="U8:U12" si="6">S8-T8</f>
        <v>202.55333333333328</v>
      </c>
      <c r="W8" s="119" t="s">
        <v>328</v>
      </c>
    </row>
    <row r="9" spans="1:23" ht="15.75" x14ac:dyDescent="0.25">
      <c r="A9" s="50" t="s">
        <v>72</v>
      </c>
      <c r="B9" s="32" t="s">
        <v>167</v>
      </c>
      <c r="C9" s="59">
        <f>D9-G9</f>
        <v>-4.0800000000000125</v>
      </c>
      <c r="D9" s="329">
        <v>240</v>
      </c>
      <c r="E9" s="308"/>
      <c r="F9" s="59">
        <f>G9-M9</f>
        <v>4.0800000000000125</v>
      </c>
      <c r="G9" s="85">
        <f>M9+(M9*$C$71)</f>
        <v>244.08</v>
      </c>
      <c r="H9" s="60">
        <f t="shared" si="0"/>
        <v>203.4</v>
      </c>
      <c r="I9" s="327">
        <v>160</v>
      </c>
      <c r="J9" s="60">
        <f t="shared" si="1"/>
        <v>43.400000000000006</v>
      </c>
      <c r="K9" s="63"/>
      <c r="L9" s="61">
        <f t="shared" si="2"/>
        <v>0</v>
      </c>
      <c r="M9" s="116">
        <v>240</v>
      </c>
      <c r="N9" s="60">
        <f t="shared" si="3"/>
        <v>200</v>
      </c>
      <c r="O9" s="60">
        <v>200</v>
      </c>
      <c r="P9" s="60">
        <f t="shared" si="4"/>
        <v>0</v>
      </c>
      <c r="Q9" s="117"/>
      <c r="R9" s="116">
        <v>240</v>
      </c>
      <c r="S9" s="60">
        <f t="shared" si="5"/>
        <v>200</v>
      </c>
      <c r="T9" s="117">
        <v>200</v>
      </c>
      <c r="U9" s="63">
        <f t="shared" si="6"/>
        <v>0</v>
      </c>
      <c r="W9" s="119"/>
    </row>
    <row r="10" spans="1:23" ht="15.75" x14ac:dyDescent="0.25">
      <c r="A10" s="50" t="s">
        <v>135</v>
      </c>
      <c r="B10" s="32" t="s">
        <v>167</v>
      </c>
      <c r="C10" s="59">
        <f>D10-G10</f>
        <v>0.29999999999999716</v>
      </c>
      <c r="D10" s="329">
        <v>102</v>
      </c>
      <c r="E10" s="308"/>
      <c r="F10" s="59">
        <f>G10-M10</f>
        <v>1.7000000000000028</v>
      </c>
      <c r="G10" s="85">
        <f>M10+(M10*$C$71)</f>
        <v>101.7</v>
      </c>
      <c r="H10" s="60">
        <f t="shared" si="0"/>
        <v>84.75</v>
      </c>
      <c r="I10" s="327">
        <v>162</v>
      </c>
      <c r="J10" s="60">
        <f t="shared" si="1"/>
        <v>-77.25</v>
      </c>
      <c r="K10" s="63"/>
      <c r="L10" s="61">
        <f t="shared" si="2"/>
        <v>100</v>
      </c>
      <c r="M10" s="116">
        <v>100</v>
      </c>
      <c r="N10" s="60">
        <f t="shared" si="3"/>
        <v>83.333333333333343</v>
      </c>
      <c r="O10" s="60">
        <v>0</v>
      </c>
      <c r="P10" s="60">
        <f t="shared" si="4"/>
        <v>83.333333333333343</v>
      </c>
      <c r="Q10" s="117"/>
      <c r="R10" s="116">
        <v>0</v>
      </c>
      <c r="S10" s="60">
        <f t="shared" si="5"/>
        <v>0</v>
      </c>
      <c r="T10" s="117">
        <v>120</v>
      </c>
      <c r="U10" s="63">
        <f t="shared" si="6"/>
        <v>-120</v>
      </c>
      <c r="W10" s="119"/>
    </row>
    <row r="11" spans="1:23" ht="15.75" x14ac:dyDescent="0.25">
      <c r="A11" s="50" t="s">
        <v>73</v>
      </c>
      <c r="B11" s="32" t="s">
        <v>167</v>
      </c>
      <c r="C11" s="59">
        <f>D11-G11</f>
        <v>-4.0800000000000125</v>
      </c>
      <c r="D11" s="329">
        <v>240</v>
      </c>
      <c r="E11" s="308"/>
      <c r="F11" s="59">
        <f>G11-M11</f>
        <v>4.0800000000000125</v>
      </c>
      <c r="G11" s="85">
        <f>M11+(M11*$C$71)</f>
        <v>244.08</v>
      </c>
      <c r="H11" s="60">
        <f t="shared" si="0"/>
        <v>203.4</v>
      </c>
      <c r="I11" s="327">
        <v>160</v>
      </c>
      <c r="J11" s="60">
        <f t="shared" si="1"/>
        <v>43.400000000000006</v>
      </c>
      <c r="K11" s="63"/>
      <c r="L11" s="61">
        <f t="shared" si="2"/>
        <v>0</v>
      </c>
      <c r="M11" s="116">
        <v>240</v>
      </c>
      <c r="N11" s="60">
        <f t="shared" si="3"/>
        <v>200</v>
      </c>
      <c r="O11" s="60">
        <v>200</v>
      </c>
      <c r="P11" s="60">
        <f t="shared" si="4"/>
        <v>0</v>
      </c>
      <c r="Q11" s="117"/>
      <c r="R11" s="116">
        <v>240</v>
      </c>
      <c r="S11" s="60">
        <f t="shared" si="5"/>
        <v>200</v>
      </c>
      <c r="T11" s="117">
        <v>200</v>
      </c>
      <c r="U11" s="63">
        <f t="shared" si="6"/>
        <v>0</v>
      </c>
      <c r="W11" s="119"/>
    </row>
    <row r="12" spans="1:23" ht="15.75" x14ac:dyDescent="0.25">
      <c r="A12" s="50" t="s">
        <v>146</v>
      </c>
      <c r="C12" s="59">
        <f>D12-G12</f>
        <v>300</v>
      </c>
      <c r="D12" s="328">
        <v>1600</v>
      </c>
      <c r="F12" s="59">
        <f>G12-M12</f>
        <v>-700</v>
      </c>
      <c r="G12" s="116">
        <v>1300</v>
      </c>
      <c r="H12" s="60">
        <f t="shared" si="0"/>
        <v>1083.3333333333333</v>
      </c>
      <c r="I12" s="327">
        <v>601</v>
      </c>
      <c r="J12" s="60">
        <f t="shared" si="1"/>
        <v>482.33333333333326</v>
      </c>
      <c r="K12" s="63"/>
      <c r="L12" s="61">
        <f t="shared" si="2"/>
        <v>1000</v>
      </c>
      <c r="M12" s="116">
        <v>2000</v>
      </c>
      <c r="N12" s="60">
        <f t="shared" si="3"/>
        <v>1666.6666666666665</v>
      </c>
      <c r="O12" s="60">
        <v>1251.32</v>
      </c>
      <c r="P12" s="60">
        <f t="shared" si="4"/>
        <v>415.34666666666658</v>
      </c>
      <c r="Q12" s="117"/>
      <c r="R12" s="116">
        <v>1000</v>
      </c>
      <c r="S12" s="60">
        <f t="shared" si="5"/>
        <v>833.33333333333326</v>
      </c>
      <c r="T12" s="117">
        <v>1697.51</v>
      </c>
      <c r="U12" s="63">
        <f t="shared" si="6"/>
        <v>-864.17666666666673</v>
      </c>
      <c r="W12" s="119"/>
    </row>
    <row r="13" spans="1:23" ht="15.75" x14ac:dyDescent="0.25">
      <c r="A13" s="50"/>
      <c r="C13" s="59"/>
      <c r="F13" s="59"/>
      <c r="G13" s="116"/>
      <c r="H13" s="60"/>
      <c r="J13" s="60"/>
      <c r="K13" s="63"/>
      <c r="L13" s="61"/>
      <c r="M13" s="116"/>
      <c r="N13" s="60"/>
      <c r="O13" s="60"/>
      <c r="P13" s="60"/>
      <c r="Q13" s="117"/>
      <c r="R13" s="116"/>
      <c r="S13" s="60"/>
      <c r="T13" s="117"/>
      <c r="U13" s="63"/>
      <c r="W13" s="119"/>
    </row>
    <row r="14" spans="1:23" ht="15.75" thickBot="1" x14ac:dyDescent="0.3">
      <c r="A14" s="138" t="s">
        <v>188</v>
      </c>
      <c r="C14" s="120">
        <f t="shared" ref="C14" si="7">SUM(C7:C13)</f>
        <v>982.13999999999987</v>
      </c>
      <c r="D14" s="121">
        <f t="shared" ref="D14" si="8">SUM(D7:D13)</f>
        <v>3562</v>
      </c>
      <c r="E14" s="124"/>
      <c r="F14" s="120">
        <f>SUM(F7:F13)</f>
        <v>-0.13999999999987267</v>
      </c>
      <c r="G14" s="121">
        <f>SUM(G7:G13)</f>
        <v>2579.8599999999997</v>
      </c>
      <c r="H14" s="122">
        <f t="shared" ref="H14:I14" si="9">SUM(H7:H13)</f>
        <v>2149.8833333333332</v>
      </c>
      <c r="I14" s="122">
        <f t="shared" si="9"/>
        <v>1813</v>
      </c>
      <c r="J14" s="122">
        <f t="shared" ref="J14" si="10">SUM(J7:J13)</f>
        <v>336.88333333333327</v>
      </c>
      <c r="K14" s="117"/>
      <c r="L14" s="120">
        <f t="shared" ref="L14:P14" si="11">SUM(L7:L13)</f>
        <v>100</v>
      </c>
      <c r="M14" s="121">
        <f t="shared" si="11"/>
        <v>2580</v>
      </c>
      <c r="N14" s="122">
        <f t="shared" si="11"/>
        <v>2150</v>
      </c>
      <c r="O14" s="122">
        <f t="shared" si="11"/>
        <v>1651.32</v>
      </c>
      <c r="P14" s="122">
        <f t="shared" si="11"/>
        <v>498.67999999999995</v>
      </c>
      <c r="Q14" s="117"/>
      <c r="R14" s="121">
        <f>SUM(R7:R13)</f>
        <v>2480</v>
      </c>
      <c r="S14" s="122">
        <f t="shared" ref="S14:U14" si="12">SUM(S7:S13)</f>
        <v>2066.6666666666665</v>
      </c>
      <c r="T14" s="122">
        <f t="shared" si="12"/>
        <v>2848.29</v>
      </c>
      <c r="U14" s="122">
        <f t="shared" si="12"/>
        <v>-781.62333333333345</v>
      </c>
      <c r="W14" s="119"/>
    </row>
    <row r="15" spans="1:23" x14ac:dyDescent="0.25">
      <c r="A15" s="9"/>
      <c r="C15" s="115"/>
      <c r="F15" s="115"/>
      <c r="G15" s="124"/>
      <c r="H15" s="117"/>
      <c r="J15" s="118"/>
      <c r="K15" s="117"/>
      <c r="L15" s="115"/>
      <c r="M15" s="124"/>
      <c r="N15" s="117"/>
      <c r="O15" s="117"/>
      <c r="P15" s="118"/>
      <c r="Q15" s="117"/>
      <c r="R15" s="124"/>
      <c r="S15" s="117"/>
      <c r="T15" s="125"/>
      <c r="U15" s="117"/>
      <c r="W15" s="119"/>
    </row>
    <row r="16" spans="1:23" x14ac:dyDescent="0.25">
      <c r="A16" s="10" t="s">
        <v>33</v>
      </c>
      <c r="C16" s="115"/>
      <c r="F16" s="115"/>
      <c r="G16" s="116"/>
      <c r="H16" s="117"/>
      <c r="J16" s="118"/>
      <c r="K16" s="117"/>
      <c r="L16" s="115"/>
      <c r="M16" s="116"/>
      <c r="N16" s="117"/>
      <c r="O16" s="117"/>
      <c r="P16" s="118"/>
      <c r="Q16" s="117"/>
      <c r="R16" s="116"/>
      <c r="S16" s="117"/>
      <c r="T16" s="117"/>
      <c r="U16" s="117"/>
      <c r="W16" s="119"/>
    </row>
    <row r="17" spans="1:26" ht="15.75" x14ac:dyDescent="0.25">
      <c r="A17" s="7" t="s">
        <v>45</v>
      </c>
      <c r="C17" s="59">
        <f t="shared" ref="C17:C23" si="13">D17-G17</f>
        <v>-4038</v>
      </c>
      <c r="D17" s="328">
        <v>3774</v>
      </c>
      <c r="F17" s="59">
        <f t="shared" ref="F17:F23" si="14">G17-M17</f>
        <v>2812</v>
      </c>
      <c r="G17" s="116">
        <f>11028-3216</f>
        <v>7812</v>
      </c>
      <c r="H17" s="60">
        <f t="shared" ref="H17:H23" si="15">G17/12*10</f>
        <v>6510</v>
      </c>
      <c r="I17" s="327">
        <v>5947</v>
      </c>
      <c r="J17" s="60">
        <f t="shared" ref="J17:J23" si="16">H17-I17</f>
        <v>563</v>
      </c>
      <c r="K17" s="63"/>
      <c r="L17" s="61">
        <f t="shared" ref="L17:L23" si="17">M17-R17</f>
        <v>3000</v>
      </c>
      <c r="M17" s="116">
        <v>5000</v>
      </c>
      <c r="N17" s="60">
        <f t="shared" ref="N17:N23" si="18">M17/12*10</f>
        <v>4166.666666666667</v>
      </c>
      <c r="O17" s="60">
        <v>5624.07</v>
      </c>
      <c r="P17" s="60">
        <f t="shared" ref="P17:P23" si="19">N17-O17</f>
        <v>-1457.4033333333327</v>
      </c>
      <c r="Q17" s="117"/>
      <c r="R17" s="116">
        <v>2000</v>
      </c>
      <c r="S17" s="60">
        <f t="shared" ref="S17:S23" si="20">R17/12*10</f>
        <v>1666.6666666666665</v>
      </c>
      <c r="T17" s="117">
        <v>4494.22</v>
      </c>
      <c r="U17" s="63">
        <f t="shared" ref="U17:U23" si="21">S17-T17</f>
        <v>-2827.5533333333337</v>
      </c>
      <c r="W17" s="127"/>
    </row>
    <row r="18" spans="1:26" ht="15.75" x14ac:dyDescent="0.25">
      <c r="A18" s="125" t="s">
        <v>46</v>
      </c>
      <c r="C18" s="59">
        <f t="shared" si="13"/>
        <v>0</v>
      </c>
      <c r="D18" s="328">
        <v>2000</v>
      </c>
      <c r="F18" s="59">
        <f t="shared" si="14"/>
        <v>0</v>
      </c>
      <c r="G18" s="116">
        <v>2000</v>
      </c>
      <c r="H18" s="60">
        <f t="shared" si="15"/>
        <v>1666.6666666666665</v>
      </c>
      <c r="I18" s="327">
        <v>3053</v>
      </c>
      <c r="J18" s="60">
        <f t="shared" si="16"/>
        <v>-1386.3333333333335</v>
      </c>
      <c r="K18" s="63"/>
      <c r="L18" s="61">
        <f t="shared" si="17"/>
        <v>500</v>
      </c>
      <c r="M18" s="116">
        <v>2000</v>
      </c>
      <c r="N18" s="60">
        <f t="shared" si="18"/>
        <v>1666.6666666666665</v>
      </c>
      <c r="O18" s="60">
        <v>1693.44</v>
      </c>
      <c r="P18" s="60">
        <f t="shared" si="19"/>
        <v>-26.773333333333539</v>
      </c>
      <c r="Q18" s="117"/>
      <c r="R18" s="116">
        <v>1500</v>
      </c>
      <c r="S18" s="60">
        <f t="shared" si="20"/>
        <v>1250</v>
      </c>
      <c r="T18" s="117">
        <v>6259.78</v>
      </c>
      <c r="U18" s="63">
        <f t="shared" si="21"/>
        <v>-5009.78</v>
      </c>
      <c r="W18" s="119"/>
      <c r="X18" s="48"/>
    </row>
    <row r="19" spans="1:26" ht="15.75" x14ac:dyDescent="0.25">
      <c r="A19" s="50" t="s">
        <v>74</v>
      </c>
      <c r="B19" s="32" t="s">
        <v>167</v>
      </c>
      <c r="C19" s="59">
        <f t="shared" si="13"/>
        <v>-3.4000000000000057</v>
      </c>
      <c r="D19" s="329">
        <v>200</v>
      </c>
      <c r="E19" s="308"/>
      <c r="F19" s="59">
        <f t="shared" si="14"/>
        <v>3.4000000000000057</v>
      </c>
      <c r="G19" s="85">
        <f>M19+(M19*$C$71)</f>
        <v>203.4</v>
      </c>
      <c r="H19" s="60">
        <f t="shared" si="15"/>
        <v>169.5</v>
      </c>
      <c r="I19" s="327">
        <v>0</v>
      </c>
      <c r="J19" s="60">
        <f t="shared" si="16"/>
        <v>169.5</v>
      </c>
      <c r="K19" s="63"/>
      <c r="L19" s="61">
        <f t="shared" si="17"/>
        <v>0</v>
      </c>
      <c r="M19" s="116">
        <v>200</v>
      </c>
      <c r="N19" s="60">
        <f t="shared" si="18"/>
        <v>166.66666666666669</v>
      </c>
      <c r="O19" s="60">
        <v>0</v>
      </c>
      <c r="P19" s="60">
        <f t="shared" si="19"/>
        <v>166.66666666666669</v>
      </c>
      <c r="Q19" s="117"/>
      <c r="R19" s="116">
        <v>200</v>
      </c>
      <c r="S19" s="60">
        <f t="shared" si="20"/>
        <v>166.66666666666669</v>
      </c>
      <c r="T19" s="117">
        <v>60</v>
      </c>
      <c r="U19" s="63">
        <f t="shared" si="21"/>
        <v>106.66666666666669</v>
      </c>
      <c r="W19" s="119"/>
    </row>
    <row r="20" spans="1:26" ht="15.75" x14ac:dyDescent="0.25">
      <c r="A20" s="50" t="s">
        <v>48</v>
      </c>
      <c r="C20" s="59">
        <f t="shared" si="13"/>
        <v>0</v>
      </c>
      <c r="D20" s="328">
        <v>200</v>
      </c>
      <c r="F20" s="59">
        <f t="shared" si="14"/>
        <v>-100</v>
      </c>
      <c r="G20" s="116">
        <v>200</v>
      </c>
      <c r="H20" s="60">
        <f t="shared" si="15"/>
        <v>166.66666666666669</v>
      </c>
      <c r="I20" s="327">
        <v>54</v>
      </c>
      <c r="J20" s="60">
        <f t="shared" si="16"/>
        <v>112.66666666666669</v>
      </c>
      <c r="K20" s="63"/>
      <c r="L20" s="61">
        <f t="shared" si="17"/>
        <v>-300</v>
      </c>
      <c r="M20" s="116">
        <v>300</v>
      </c>
      <c r="N20" s="60">
        <f t="shared" si="18"/>
        <v>250</v>
      </c>
      <c r="O20" s="60">
        <v>155</v>
      </c>
      <c r="P20" s="60">
        <f t="shared" si="19"/>
        <v>95</v>
      </c>
      <c r="Q20" s="117"/>
      <c r="R20" s="116">
        <v>600</v>
      </c>
      <c r="S20" s="60">
        <f t="shared" si="20"/>
        <v>500</v>
      </c>
      <c r="T20" s="117">
        <v>175</v>
      </c>
      <c r="U20" s="63">
        <f t="shared" si="21"/>
        <v>325</v>
      </c>
      <c r="W20" s="119"/>
    </row>
    <row r="21" spans="1:26" ht="15.75" x14ac:dyDescent="0.25">
      <c r="A21" s="50" t="s">
        <v>49</v>
      </c>
      <c r="C21" s="59">
        <f t="shared" si="13"/>
        <v>0</v>
      </c>
      <c r="D21" s="328">
        <v>1500</v>
      </c>
      <c r="F21" s="59">
        <f t="shared" si="14"/>
        <v>-500</v>
      </c>
      <c r="G21" s="116">
        <v>1500</v>
      </c>
      <c r="H21" s="60">
        <f t="shared" si="15"/>
        <v>1250</v>
      </c>
      <c r="I21" s="327">
        <v>1068</v>
      </c>
      <c r="J21" s="60">
        <f t="shared" si="16"/>
        <v>182</v>
      </c>
      <c r="K21" s="63"/>
      <c r="L21" s="61">
        <f t="shared" si="17"/>
        <v>0</v>
      </c>
      <c r="M21" s="116">
        <v>2000</v>
      </c>
      <c r="N21" s="60">
        <f t="shared" si="18"/>
        <v>1666.6666666666665</v>
      </c>
      <c r="O21" s="60">
        <v>1437</v>
      </c>
      <c r="P21" s="60">
        <f t="shared" si="19"/>
        <v>229.66666666666652</v>
      </c>
      <c r="Q21" s="117"/>
      <c r="R21" s="116">
        <v>2000</v>
      </c>
      <c r="S21" s="60">
        <f t="shared" si="20"/>
        <v>1666.6666666666665</v>
      </c>
      <c r="T21" s="117">
        <v>3888.74</v>
      </c>
      <c r="U21" s="63">
        <f t="shared" si="21"/>
        <v>-2222.0733333333333</v>
      </c>
      <c r="W21" s="127"/>
    </row>
    <row r="22" spans="1:26" ht="15.75" x14ac:dyDescent="0.25">
      <c r="A22" s="50" t="s">
        <v>6</v>
      </c>
      <c r="C22" s="59">
        <f t="shared" si="13"/>
        <v>-200</v>
      </c>
      <c r="D22" s="328">
        <v>3000</v>
      </c>
      <c r="F22" s="59">
        <f t="shared" si="14"/>
        <v>-300</v>
      </c>
      <c r="G22" s="116">
        <v>3200</v>
      </c>
      <c r="H22" s="60">
        <f t="shared" si="15"/>
        <v>2666.666666666667</v>
      </c>
      <c r="I22" s="327">
        <v>2429</v>
      </c>
      <c r="J22" s="60">
        <f t="shared" si="16"/>
        <v>237.66666666666697</v>
      </c>
      <c r="K22" s="63"/>
      <c r="L22" s="61">
        <f t="shared" si="17"/>
        <v>300</v>
      </c>
      <c r="M22" s="116">
        <v>3500</v>
      </c>
      <c r="N22" s="60">
        <f t="shared" si="18"/>
        <v>2916.666666666667</v>
      </c>
      <c r="O22" s="60">
        <v>2692.97</v>
      </c>
      <c r="P22" s="60">
        <f t="shared" si="19"/>
        <v>223.69666666666717</v>
      </c>
      <c r="Q22" s="117"/>
      <c r="R22" s="116">
        <v>3200</v>
      </c>
      <c r="S22" s="60">
        <f t="shared" si="20"/>
        <v>2666.666666666667</v>
      </c>
      <c r="T22" s="117">
        <v>3015</v>
      </c>
      <c r="U22" s="63">
        <f t="shared" si="21"/>
        <v>-348.33333333333303</v>
      </c>
      <c r="W22" s="119"/>
    </row>
    <row r="23" spans="1:26" ht="15.75" x14ac:dyDescent="0.25">
      <c r="A23" s="50" t="s">
        <v>133</v>
      </c>
      <c r="C23" s="59">
        <f t="shared" si="13"/>
        <v>0</v>
      </c>
      <c r="D23" s="328"/>
      <c r="F23" s="59">
        <f t="shared" si="14"/>
        <v>0</v>
      </c>
      <c r="G23" s="116">
        <v>0</v>
      </c>
      <c r="H23" s="60">
        <f t="shared" si="15"/>
        <v>0</v>
      </c>
      <c r="I23" s="327">
        <v>0</v>
      </c>
      <c r="J23" s="60">
        <f t="shared" si="16"/>
        <v>0</v>
      </c>
      <c r="K23" s="63"/>
      <c r="L23" s="61">
        <f t="shared" si="17"/>
        <v>0</v>
      </c>
      <c r="M23" s="116">
        <v>0</v>
      </c>
      <c r="N23" s="60">
        <f t="shared" si="18"/>
        <v>0</v>
      </c>
      <c r="O23" s="60">
        <v>0</v>
      </c>
      <c r="P23" s="60">
        <f t="shared" si="19"/>
        <v>0</v>
      </c>
      <c r="Q23" s="117"/>
      <c r="R23" s="116">
        <v>0</v>
      </c>
      <c r="S23" s="60">
        <f t="shared" si="20"/>
        <v>0</v>
      </c>
      <c r="T23" s="117">
        <v>60</v>
      </c>
      <c r="U23" s="63">
        <f t="shared" si="21"/>
        <v>-60</v>
      </c>
      <c r="W23" s="119" t="s">
        <v>329</v>
      </c>
    </row>
    <row r="24" spans="1:26" ht="15.75" x14ac:dyDescent="0.25">
      <c r="A24" s="50" t="s">
        <v>286</v>
      </c>
      <c r="C24" s="59"/>
      <c r="D24" s="328">
        <v>600</v>
      </c>
      <c r="F24" s="59"/>
      <c r="G24" s="116"/>
      <c r="H24" s="60"/>
      <c r="I24" s="327">
        <v>1077</v>
      </c>
      <c r="J24" s="60"/>
      <c r="K24" s="63"/>
      <c r="L24" s="61"/>
      <c r="M24" s="116"/>
      <c r="N24" s="60"/>
      <c r="O24" s="60"/>
      <c r="P24" s="60"/>
      <c r="Q24" s="117"/>
      <c r="R24" s="116"/>
      <c r="S24" s="60"/>
      <c r="T24" s="117"/>
      <c r="U24" s="63"/>
      <c r="W24" s="119"/>
    </row>
    <row r="25" spans="1:26" ht="15.75" x14ac:dyDescent="0.25">
      <c r="A25" s="50"/>
      <c r="C25" s="59"/>
      <c r="F25" s="59"/>
      <c r="G25" s="116"/>
      <c r="H25" s="60"/>
      <c r="J25" s="60"/>
      <c r="K25" s="63"/>
      <c r="L25" s="61"/>
      <c r="M25" s="116"/>
      <c r="N25" s="60"/>
      <c r="O25" s="60"/>
      <c r="P25" s="60"/>
      <c r="Q25" s="117"/>
      <c r="R25" s="116"/>
      <c r="S25" s="60"/>
      <c r="T25" s="117"/>
      <c r="U25" s="63"/>
      <c r="W25" s="119"/>
    </row>
    <row r="26" spans="1:26" ht="15.75" thickBot="1" x14ac:dyDescent="0.3">
      <c r="A26" s="138" t="s">
        <v>189</v>
      </c>
      <c r="C26" s="120">
        <f t="shared" ref="C26" si="22">SUM(C16:C25)</f>
        <v>-4241.3999999999996</v>
      </c>
      <c r="D26" s="121">
        <f t="shared" ref="D26" si="23">SUM(D16:D25)</f>
        <v>11274</v>
      </c>
      <c r="E26" s="124"/>
      <c r="F26" s="120">
        <f>SUM(F16:F25)</f>
        <v>1915.4</v>
      </c>
      <c r="G26" s="121">
        <f>SUM(G16:G25)</f>
        <v>14915.4</v>
      </c>
      <c r="H26" s="122">
        <f t="shared" ref="H26:I26" si="24">SUM(H16:H25)</f>
        <v>12429.5</v>
      </c>
      <c r="I26" s="122">
        <f t="shared" si="24"/>
        <v>13628</v>
      </c>
      <c r="J26" s="122">
        <f t="shared" ref="J26" si="25">SUM(J16:J25)</f>
        <v>-121.49999999999977</v>
      </c>
      <c r="K26" s="117"/>
      <c r="L26" s="120">
        <f t="shared" ref="L26:P26" si="26">SUM(L16:L25)</f>
        <v>3500</v>
      </c>
      <c r="M26" s="121">
        <f t="shared" si="26"/>
        <v>13000</v>
      </c>
      <c r="N26" s="122">
        <f t="shared" si="26"/>
        <v>10833.333333333336</v>
      </c>
      <c r="O26" s="122">
        <f t="shared" si="26"/>
        <v>11602.48</v>
      </c>
      <c r="P26" s="122">
        <f t="shared" si="26"/>
        <v>-769.14666666666585</v>
      </c>
      <c r="Q26" s="117"/>
      <c r="R26" s="121">
        <f>SUM(R16:R25)</f>
        <v>9500</v>
      </c>
      <c r="S26" s="122">
        <f t="shared" ref="S26:U26" si="27">SUM(S16:S25)</f>
        <v>7916.666666666667</v>
      </c>
      <c r="T26" s="122">
        <f t="shared" si="27"/>
        <v>17952.739999999998</v>
      </c>
      <c r="U26" s="122">
        <f t="shared" si="27"/>
        <v>-10036.073333333334</v>
      </c>
      <c r="W26" s="119"/>
    </row>
    <row r="27" spans="1:26" x14ac:dyDescent="0.25">
      <c r="A27" s="9"/>
      <c r="C27" s="115"/>
      <c r="F27" s="115"/>
      <c r="G27" s="124"/>
      <c r="H27" s="117"/>
      <c r="J27" s="118"/>
      <c r="K27" s="117"/>
      <c r="L27" s="115"/>
      <c r="M27" s="124"/>
      <c r="N27" s="117"/>
      <c r="O27" s="117"/>
      <c r="P27" s="118"/>
      <c r="Q27" s="117"/>
      <c r="R27" s="124"/>
      <c r="S27" s="117"/>
      <c r="T27" s="125"/>
      <c r="U27" s="117"/>
      <c r="W27" s="119"/>
    </row>
    <row r="28" spans="1:26" x14ac:dyDescent="0.25">
      <c r="A28" s="10" t="s">
        <v>82</v>
      </c>
      <c r="C28" s="115"/>
      <c r="F28" s="115"/>
      <c r="G28" s="116"/>
      <c r="H28" s="117"/>
      <c r="J28" s="118"/>
      <c r="K28" s="117"/>
      <c r="L28" s="115"/>
      <c r="M28" s="116"/>
      <c r="N28" s="117"/>
      <c r="O28" s="117"/>
      <c r="P28" s="118"/>
      <c r="Q28" s="117"/>
      <c r="R28" s="116"/>
      <c r="S28" s="117"/>
      <c r="T28" s="117"/>
      <c r="U28" s="117"/>
      <c r="W28" s="119"/>
    </row>
    <row r="29" spans="1:26" ht="15.75" x14ac:dyDescent="0.25">
      <c r="A29" s="7" t="s">
        <v>34</v>
      </c>
      <c r="C29" s="59">
        <f>D29-G29</f>
        <v>1570</v>
      </c>
      <c r="D29" s="328">
        <v>22070</v>
      </c>
      <c r="F29" s="59">
        <f>G29-M29</f>
        <v>4500</v>
      </c>
      <c r="G29" s="116">
        <v>20500</v>
      </c>
      <c r="H29" s="60">
        <f t="shared" ref="H29:H31" si="28">G29/12*10</f>
        <v>17083.333333333332</v>
      </c>
      <c r="I29" s="327">
        <v>13374</v>
      </c>
      <c r="J29" s="60">
        <f t="shared" ref="J29:J31" si="29">H29-I29</f>
        <v>3709.3333333333321</v>
      </c>
      <c r="K29" s="63"/>
      <c r="L29" s="61">
        <f t="shared" ref="L29:L31" si="30">M29-R29</f>
        <v>2000</v>
      </c>
      <c r="M29" s="116">
        <v>16000</v>
      </c>
      <c r="N29" s="60">
        <f t="shared" ref="N29:N31" si="31">M29/12*10</f>
        <v>13333.333333333332</v>
      </c>
      <c r="O29" s="60">
        <v>18556.113000000001</v>
      </c>
      <c r="P29" s="60">
        <f t="shared" ref="P29:P31" si="32">N29-O29</f>
        <v>-5222.7796666666691</v>
      </c>
      <c r="Q29" s="117"/>
      <c r="R29" s="116">
        <v>14000</v>
      </c>
      <c r="S29" s="60">
        <f t="shared" ref="S29:S31" si="33">R29/12*10</f>
        <v>11666.666666666668</v>
      </c>
      <c r="T29" s="117">
        <v>16066.87</v>
      </c>
      <c r="U29" s="63">
        <f t="shared" ref="U29:U31" si="34">S29-T29</f>
        <v>-4400.2033333333329</v>
      </c>
      <c r="W29" s="119" t="s">
        <v>330</v>
      </c>
      <c r="Z29" s="48"/>
    </row>
    <row r="30" spans="1:26" ht="15.75" x14ac:dyDescent="0.25">
      <c r="A30" s="125" t="s">
        <v>7</v>
      </c>
      <c r="C30" s="59">
        <f>D30-G30</f>
        <v>1750</v>
      </c>
      <c r="D30" s="328">
        <v>7750</v>
      </c>
      <c r="F30" s="59">
        <f>G30-M30</f>
        <v>-1000</v>
      </c>
      <c r="G30" s="116">
        <v>6000</v>
      </c>
      <c r="H30" s="60">
        <f t="shared" si="28"/>
        <v>5000</v>
      </c>
      <c r="I30" s="327">
        <v>6480</v>
      </c>
      <c r="J30" s="60">
        <f t="shared" si="29"/>
        <v>-1480</v>
      </c>
      <c r="K30" s="63"/>
      <c r="L30" s="61">
        <f t="shared" si="30"/>
        <v>0</v>
      </c>
      <c r="M30" s="116">
        <v>7000</v>
      </c>
      <c r="N30" s="60">
        <f t="shared" si="31"/>
        <v>5833.3333333333339</v>
      </c>
      <c r="O30" s="60">
        <v>4781.47</v>
      </c>
      <c r="P30" s="60">
        <f t="shared" si="32"/>
        <v>1051.8633333333337</v>
      </c>
      <c r="Q30" s="117"/>
      <c r="R30" s="116">
        <v>7000</v>
      </c>
      <c r="S30" s="60">
        <f t="shared" si="33"/>
        <v>5833.3333333333339</v>
      </c>
      <c r="T30" s="117">
        <v>5701.9</v>
      </c>
      <c r="U30" s="63">
        <f t="shared" si="34"/>
        <v>131.4333333333343</v>
      </c>
      <c r="W30" s="119" t="s">
        <v>331</v>
      </c>
    </row>
    <row r="31" spans="1:26" ht="15.75" x14ac:dyDescent="0.25">
      <c r="A31" s="50" t="s">
        <v>147</v>
      </c>
      <c r="C31" s="59">
        <f>D31-G31</f>
        <v>0</v>
      </c>
      <c r="D31" s="328">
        <v>2000</v>
      </c>
      <c r="F31" s="59">
        <f>G31-M31</f>
        <v>-2000</v>
      </c>
      <c r="G31" s="116">
        <v>2000</v>
      </c>
      <c r="H31" s="60">
        <f t="shared" si="28"/>
        <v>1666.6666666666665</v>
      </c>
      <c r="I31" s="327">
        <v>1335</v>
      </c>
      <c r="J31" s="60">
        <f t="shared" si="29"/>
        <v>331.66666666666652</v>
      </c>
      <c r="K31" s="63"/>
      <c r="L31" s="61">
        <f t="shared" si="30"/>
        <v>1700</v>
      </c>
      <c r="M31" s="116">
        <v>4000</v>
      </c>
      <c r="N31" s="60">
        <f t="shared" si="31"/>
        <v>3333.333333333333</v>
      </c>
      <c r="O31" s="60">
        <v>1422.47</v>
      </c>
      <c r="P31" s="60">
        <f t="shared" si="32"/>
        <v>1910.863333333333</v>
      </c>
      <c r="Q31" s="117"/>
      <c r="R31" s="116">
        <v>2300</v>
      </c>
      <c r="S31" s="60">
        <f t="shared" si="33"/>
        <v>1916.6666666666665</v>
      </c>
      <c r="T31" s="117">
        <v>3436.12</v>
      </c>
      <c r="U31" s="63">
        <f t="shared" si="34"/>
        <v>-1519.4533333333334</v>
      </c>
      <c r="W31" s="119" t="s">
        <v>332</v>
      </c>
    </row>
    <row r="32" spans="1:26" ht="15.75" x14ac:dyDescent="0.25">
      <c r="A32" s="50"/>
      <c r="C32" s="59"/>
      <c r="F32" s="59"/>
      <c r="G32" s="116"/>
      <c r="H32" s="60"/>
      <c r="J32" s="60"/>
      <c r="K32" s="63"/>
      <c r="L32" s="61"/>
      <c r="M32" s="116"/>
      <c r="N32" s="60"/>
      <c r="O32" s="60"/>
      <c r="P32" s="60"/>
      <c r="Q32" s="117"/>
      <c r="R32" s="116"/>
      <c r="S32" s="60"/>
      <c r="T32" s="117"/>
      <c r="U32" s="63"/>
      <c r="W32" s="119"/>
    </row>
    <row r="33" spans="1:24" ht="15.75" thickBot="1" x14ac:dyDescent="0.3">
      <c r="A33" s="138" t="s">
        <v>190</v>
      </c>
      <c r="C33" s="120">
        <f t="shared" ref="C33" si="35">SUM(C28:C32)</f>
        <v>3320</v>
      </c>
      <c r="D33" s="121">
        <f t="shared" ref="D33" si="36">SUM(D28:D32)</f>
        <v>31820</v>
      </c>
      <c r="E33" s="124"/>
      <c r="F33" s="120">
        <f>SUM(F28:F32)</f>
        <v>1500</v>
      </c>
      <c r="G33" s="121">
        <f>SUM(G28:G32)</f>
        <v>28500</v>
      </c>
      <c r="H33" s="122">
        <f t="shared" ref="H33:I33" si="37">SUM(H28:H32)</f>
        <v>23750</v>
      </c>
      <c r="I33" s="122">
        <f t="shared" si="37"/>
        <v>21189</v>
      </c>
      <c r="J33" s="122">
        <f t="shared" ref="J33" si="38">SUM(J28:J32)</f>
        <v>2560.9999999999986</v>
      </c>
      <c r="K33" s="117"/>
      <c r="L33" s="120">
        <f t="shared" ref="L33:P33" si="39">SUM(L28:L32)</f>
        <v>3700</v>
      </c>
      <c r="M33" s="121">
        <f t="shared" si="39"/>
        <v>27000</v>
      </c>
      <c r="N33" s="122">
        <f t="shared" si="39"/>
        <v>22499.999999999996</v>
      </c>
      <c r="O33" s="122">
        <f t="shared" si="39"/>
        <v>24760.053000000004</v>
      </c>
      <c r="P33" s="122">
        <f t="shared" si="39"/>
        <v>-2260.0530000000026</v>
      </c>
      <c r="Q33" s="117"/>
      <c r="R33" s="121">
        <f>SUM(R28:R32)</f>
        <v>23300</v>
      </c>
      <c r="S33" s="122">
        <f t="shared" ref="S33:U33" si="40">SUM(S28:S32)</f>
        <v>19416.666666666668</v>
      </c>
      <c r="T33" s="122">
        <f t="shared" si="40"/>
        <v>25204.89</v>
      </c>
      <c r="U33" s="122">
        <f t="shared" si="40"/>
        <v>-5788.2233333333315</v>
      </c>
      <c r="W33" s="119"/>
    </row>
    <row r="34" spans="1:24" x14ac:dyDescent="0.25">
      <c r="A34" s="9"/>
      <c r="C34" s="115"/>
      <c r="F34" s="115"/>
      <c r="G34" s="124"/>
      <c r="H34" s="117"/>
      <c r="J34" s="118"/>
      <c r="K34" s="117"/>
      <c r="L34" s="115"/>
      <c r="M34" s="124"/>
      <c r="N34" s="117"/>
      <c r="O34" s="117"/>
      <c r="P34" s="118"/>
      <c r="Q34" s="117"/>
      <c r="R34" s="124"/>
      <c r="S34" s="117"/>
      <c r="T34" s="125"/>
      <c r="U34" s="117"/>
      <c r="W34" s="119"/>
    </row>
    <row r="35" spans="1:24" x14ac:dyDescent="0.25">
      <c r="A35" s="9" t="s">
        <v>5</v>
      </c>
      <c r="C35" s="115"/>
      <c r="F35" s="115"/>
      <c r="G35" s="116"/>
      <c r="H35" s="117"/>
      <c r="J35" s="118"/>
      <c r="K35" s="117"/>
      <c r="L35" s="115"/>
      <c r="M35" s="116"/>
      <c r="N35" s="117"/>
      <c r="O35" s="117"/>
      <c r="P35" s="118"/>
      <c r="Q35" s="117"/>
      <c r="R35" s="116"/>
      <c r="S35" s="117"/>
      <c r="T35" s="117"/>
      <c r="U35" s="117"/>
      <c r="W35" s="119"/>
    </row>
    <row r="36" spans="1:24" ht="15.75" x14ac:dyDescent="0.25">
      <c r="A36" s="10" t="s">
        <v>47</v>
      </c>
      <c r="C36" s="59">
        <f t="shared" ref="C36:C42" si="41">D36-G36</f>
        <v>200</v>
      </c>
      <c r="D36" s="328">
        <v>1200</v>
      </c>
      <c r="F36" s="59">
        <f t="shared" ref="F36:F42" si="42">G36-M36</f>
        <v>0</v>
      </c>
      <c r="G36" s="116">
        <v>1000</v>
      </c>
      <c r="H36" s="60">
        <f t="shared" ref="H36:H41" si="43">G36/12*10</f>
        <v>833.33333333333326</v>
      </c>
      <c r="I36" s="327">
        <v>1282</v>
      </c>
      <c r="J36" s="60">
        <f t="shared" ref="J36:J41" si="44">H36-I36</f>
        <v>-448.66666666666674</v>
      </c>
      <c r="K36" s="63"/>
      <c r="L36" s="61">
        <f t="shared" ref="L36:L41" si="45">M36-R36</f>
        <v>0</v>
      </c>
      <c r="M36" s="116">
        <v>1000</v>
      </c>
      <c r="N36" s="60">
        <f t="shared" ref="N36:N41" si="46">M36/12*10</f>
        <v>833.33333333333326</v>
      </c>
      <c r="O36" s="60">
        <v>655.84</v>
      </c>
      <c r="P36" s="60">
        <f t="shared" ref="P36:P41" si="47">N36-O36</f>
        <v>177.49333333333323</v>
      </c>
      <c r="Q36" s="117"/>
      <c r="R36" s="116">
        <v>1000</v>
      </c>
      <c r="S36" s="60">
        <f t="shared" ref="S36:S41" si="48">R36/12*10</f>
        <v>833.33333333333326</v>
      </c>
      <c r="T36" s="117">
        <v>540</v>
      </c>
      <c r="U36" s="63">
        <f t="shared" ref="U36:U41" si="49">S36-T36</f>
        <v>293.33333333333326</v>
      </c>
      <c r="W36" s="119"/>
    </row>
    <row r="37" spans="1:24" ht="15.75" x14ac:dyDescent="0.25">
      <c r="A37" s="125" t="s">
        <v>148</v>
      </c>
      <c r="B37" s="32" t="s">
        <v>167</v>
      </c>
      <c r="C37" s="59">
        <f t="shared" si="41"/>
        <v>-2.5500000000000114</v>
      </c>
      <c r="D37" s="329">
        <v>150</v>
      </c>
      <c r="E37" s="308"/>
      <c r="F37" s="59">
        <f t="shared" si="42"/>
        <v>2.5500000000000114</v>
      </c>
      <c r="G37" s="85">
        <f>M37+(M37*$C$71)</f>
        <v>152.55000000000001</v>
      </c>
      <c r="H37" s="60">
        <f t="shared" si="43"/>
        <v>127.125</v>
      </c>
      <c r="I37" s="327">
        <v>0</v>
      </c>
      <c r="J37" s="60">
        <f t="shared" si="44"/>
        <v>127.125</v>
      </c>
      <c r="K37" s="63"/>
      <c r="L37" s="61">
        <f t="shared" si="45"/>
        <v>0</v>
      </c>
      <c r="M37" s="116">
        <v>150</v>
      </c>
      <c r="N37" s="60">
        <f t="shared" si="46"/>
        <v>125</v>
      </c>
      <c r="O37" s="60">
        <v>81.599999999999994</v>
      </c>
      <c r="P37" s="60">
        <f t="shared" si="47"/>
        <v>43.400000000000006</v>
      </c>
      <c r="Q37" s="117"/>
      <c r="R37" s="116">
        <v>150</v>
      </c>
      <c r="S37" s="60">
        <f t="shared" si="48"/>
        <v>125</v>
      </c>
      <c r="T37" s="117">
        <v>0</v>
      </c>
      <c r="U37" s="63">
        <f t="shared" si="49"/>
        <v>125</v>
      </c>
      <c r="W37" s="119"/>
    </row>
    <row r="38" spans="1:24" ht="15.75" x14ac:dyDescent="0.25">
      <c r="A38" s="50" t="s">
        <v>51</v>
      </c>
      <c r="C38" s="59">
        <f t="shared" si="41"/>
        <v>0</v>
      </c>
      <c r="D38" s="328">
        <v>323</v>
      </c>
      <c r="F38" s="59">
        <f t="shared" si="42"/>
        <v>13</v>
      </c>
      <c r="G38" s="116">
        <v>323</v>
      </c>
      <c r="H38" s="60">
        <f t="shared" si="43"/>
        <v>269.16666666666669</v>
      </c>
      <c r="I38" s="327">
        <v>322</v>
      </c>
      <c r="J38" s="60">
        <f t="shared" si="44"/>
        <v>-52.833333333333314</v>
      </c>
      <c r="K38" s="63"/>
      <c r="L38" s="61">
        <f t="shared" si="45"/>
        <v>310</v>
      </c>
      <c r="M38" s="116">
        <v>310</v>
      </c>
      <c r="N38" s="60">
        <f t="shared" si="46"/>
        <v>258.33333333333331</v>
      </c>
      <c r="O38" s="60">
        <v>322.08</v>
      </c>
      <c r="P38" s="60">
        <f t="shared" si="47"/>
        <v>-63.74666666666667</v>
      </c>
      <c r="Q38" s="117"/>
      <c r="R38" s="116">
        <v>0</v>
      </c>
      <c r="S38" s="60">
        <f t="shared" si="48"/>
        <v>0</v>
      </c>
      <c r="T38" s="117">
        <v>308.88</v>
      </c>
      <c r="U38" s="63">
        <f t="shared" si="49"/>
        <v>-308.88</v>
      </c>
      <c r="W38" s="119"/>
    </row>
    <row r="39" spans="1:24" ht="15.75" x14ac:dyDescent="0.25">
      <c r="A39" s="50" t="s">
        <v>149</v>
      </c>
      <c r="C39" s="59">
        <f t="shared" si="41"/>
        <v>55</v>
      </c>
      <c r="D39" s="328">
        <v>355</v>
      </c>
      <c r="F39" s="59">
        <f t="shared" si="42"/>
        <v>180</v>
      </c>
      <c r="G39" s="116">
        <v>300</v>
      </c>
      <c r="H39" s="60">
        <f t="shared" si="43"/>
        <v>250</v>
      </c>
      <c r="I39" s="327">
        <v>355</v>
      </c>
      <c r="J39" s="60">
        <f t="shared" si="44"/>
        <v>-105</v>
      </c>
      <c r="K39" s="63"/>
      <c r="L39" s="61">
        <f t="shared" si="45"/>
        <v>-55</v>
      </c>
      <c r="M39" s="116">
        <v>120</v>
      </c>
      <c r="N39" s="60">
        <f t="shared" si="46"/>
        <v>100</v>
      </c>
      <c r="O39" s="60">
        <v>175.2</v>
      </c>
      <c r="P39" s="60">
        <f t="shared" si="47"/>
        <v>-75.199999999999989</v>
      </c>
      <c r="Q39" s="117"/>
      <c r="R39" s="116">
        <v>175</v>
      </c>
      <c r="S39" s="60">
        <f t="shared" si="48"/>
        <v>145.83333333333334</v>
      </c>
      <c r="T39" s="117">
        <v>295.2</v>
      </c>
      <c r="U39" s="63">
        <f t="shared" si="49"/>
        <v>-149.36666666666665</v>
      </c>
      <c r="W39" s="119"/>
    </row>
    <row r="40" spans="1:24" ht="15.75" x14ac:dyDescent="0.25">
      <c r="A40" s="50" t="s">
        <v>121</v>
      </c>
      <c r="C40" s="59">
        <f t="shared" si="41"/>
        <v>0</v>
      </c>
      <c r="D40" s="328">
        <v>0</v>
      </c>
      <c r="F40" s="59">
        <f t="shared" si="42"/>
        <v>-200</v>
      </c>
      <c r="G40" s="116">
        <v>0</v>
      </c>
      <c r="H40" s="60">
        <f t="shared" si="43"/>
        <v>0</v>
      </c>
      <c r="I40" s="327">
        <v>0</v>
      </c>
      <c r="J40" s="60">
        <f t="shared" si="44"/>
        <v>0</v>
      </c>
      <c r="K40" s="63"/>
      <c r="L40" s="61">
        <f t="shared" si="45"/>
        <v>200</v>
      </c>
      <c r="M40" s="116">
        <v>200</v>
      </c>
      <c r="N40" s="60">
        <f t="shared" si="46"/>
        <v>166.66666666666669</v>
      </c>
      <c r="O40" s="60">
        <v>0</v>
      </c>
      <c r="P40" s="60">
        <f t="shared" si="47"/>
        <v>166.66666666666669</v>
      </c>
      <c r="Q40" s="117"/>
      <c r="R40" s="116"/>
      <c r="S40" s="60">
        <f t="shared" si="48"/>
        <v>0</v>
      </c>
      <c r="T40" s="117">
        <v>85.58</v>
      </c>
      <c r="U40" s="63">
        <f t="shared" si="49"/>
        <v>-85.58</v>
      </c>
      <c r="W40" s="119"/>
    </row>
    <row r="41" spans="1:24" ht="15.75" x14ac:dyDescent="0.25">
      <c r="A41" s="50" t="s">
        <v>122</v>
      </c>
      <c r="C41" s="59">
        <f t="shared" si="41"/>
        <v>200</v>
      </c>
      <c r="D41" s="328">
        <v>300</v>
      </c>
      <c r="F41" s="59">
        <f t="shared" si="42"/>
        <v>-650</v>
      </c>
      <c r="G41" s="116">
        <v>100</v>
      </c>
      <c r="H41" s="60">
        <f t="shared" si="43"/>
        <v>83.333333333333343</v>
      </c>
      <c r="I41" s="327">
        <v>591</v>
      </c>
      <c r="J41" s="60">
        <f t="shared" si="44"/>
        <v>-507.66666666666663</v>
      </c>
      <c r="K41" s="63"/>
      <c r="L41" s="61">
        <f t="shared" si="45"/>
        <v>750</v>
      </c>
      <c r="M41" s="116">
        <v>750</v>
      </c>
      <c r="N41" s="60">
        <f t="shared" si="46"/>
        <v>625</v>
      </c>
      <c r="O41" s="60">
        <v>1317.79</v>
      </c>
      <c r="P41" s="60">
        <f t="shared" si="47"/>
        <v>-692.79</v>
      </c>
      <c r="Q41" s="117"/>
      <c r="R41" s="116"/>
      <c r="S41" s="60">
        <f t="shared" si="48"/>
        <v>0</v>
      </c>
      <c r="T41" s="117">
        <v>2964</v>
      </c>
      <c r="U41" s="63">
        <f t="shared" si="49"/>
        <v>-2964</v>
      </c>
      <c r="W41" s="119"/>
    </row>
    <row r="42" spans="1:24" ht="15.75" x14ac:dyDescent="0.25">
      <c r="A42" s="50" t="s">
        <v>150</v>
      </c>
      <c r="C42" s="59">
        <f t="shared" si="41"/>
        <v>0</v>
      </c>
      <c r="D42" s="328">
        <v>0</v>
      </c>
      <c r="F42" s="59">
        <f t="shared" si="42"/>
        <v>0</v>
      </c>
      <c r="G42" s="116">
        <v>0</v>
      </c>
      <c r="H42" s="60">
        <f>G42/12*10</f>
        <v>0</v>
      </c>
      <c r="I42" s="327">
        <v>0</v>
      </c>
      <c r="J42" s="60">
        <f>H42-I42</f>
        <v>0</v>
      </c>
      <c r="K42" s="63"/>
      <c r="L42" s="61">
        <f>M42-R42</f>
        <v>0</v>
      </c>
      <c r="M42" s="116"/>
      <c r="N42" s="60">
        <f>M42/12*10</f>
        <v>0</v>
      </c>
      <c r="O42" s="60">
        <v>0</v>
      </c>
      <c r="P42" s="60">
        <f>N42-O42</f>
        <v>0</v>
      </c>
      <c r="Q42" s="117"/>
      <c r="R42" s="116"/>
      <c r="S42" s="117"/>
      <c r="T42" s="117"/>
      <c r="U42" s="117"/>
      <c r="W42" s="119" t="s">
        <v>333</v>
      </c>
    </row>
    <row r="43" spans="1:24" ht="15.75" x14ac:dyDescent="0.25">
      <c r="A43" s="50"/>
      <c r="C43" s="59"/>
      <c r="F43" s="59"/>
      <c r="G43" s="116"/>
      <c r="H43" s="60"/>
      <c r="J43" s="60"/>
      <c r="K43" s="63"/>
      <c r="L43" s="61"/>
      <c r="M43" s="116"/>
      <c r="N43" s="60"/>
      <c r="O43" s="60"/>
      <c r="P43" s="60"/>
      <c r="Q43" s="117"/>
      <c r="R43" s="116"/>
      <c r="S43" s="117"/>
      <c r="T43" s="117"/>
      <c r="U43" s="117"/>
      <c r="W43" s="119"/>
      <c r="X43" s="48"/>
    </row>
    <row r="44" spans="1:24" ht="15.75" thickBot="1" x14ac:dyDescent="0.3">
      <c r="A44" s="138" t="s">
        <v>191</v>
      </c>
      <c r="C44" s="120">
        <f>SUM(C35:C43)</f>
        <v>452.45</v>
      </c>
      <c r="D44" s="121">
        <f>SUM(D35:D43)</f>
        <v>2328</v>
      </c>
      <c r="E44" s="124"/>
      <c r="F44" s="120">
        <f>SUM(F35:F43)</f>
        <v>-654.45000000000005</v>
      </c>
      <c r="G44" s="121">
        <f>SUM(G35:G43)</f>
        <v>1875.55</v>
      </c>
      <c r="H44" s="122">
        <f>SUM(H35:H43)</f>
        <v>1562.9583333333333</v>
      </c>
      <c r="I44" s="122">
        <f>SUM(I35:I43)</f>
        <v>2550</v>
      </c>
      <c r="J44" s="122">
        <f>SUM(J35:J43)</f>
        <v>-987.04166666666674</v>
      </c>
      <c r="K44" s="117"/>
      <c r="L44" s="120">
        <f>SUM(L35:L43)</f>
        <v>1205</v>
      </c>
      <c r="M44" s="121">
        <f>SUM(M35:M43)</f>
        <v>2530</v>
      </c>
      <c r="N44" s="122">
        <f>SUM(N35:N43)</f>
        <v>2108.333333333333</v>
      </c>
      <c r="O44" s="122">
        <f>SUM(O35:O43)</f>
        <v>2552.5100000000002</v>
      </c>
      <c r="P44" s="122">
        <f>SUM(P35:P43)</f>
        <v>-444.17666666666673</v>
      </c>
      <c r="Q44" s="117"/>
      <c r="R44" s="121">
        <f>SUM(R35:R43)</f>
        <v>1325</v>
      </c>
      <c r="S44" s="122">
        <f>SUM(S35:S43)</f>
        <v>1104.1666666666665</v>
      </c>
      <c r="T44" s="122">
        <f>SUM(T35:T43)</f>
        <v>4193.66</v>
      </c>
      <c r="U44" s="122">
        <f>SUM(U35:U43)</f>
        <v>-3089.4933333333333</v>
      </c>
      <c r="W44" s="119"/>
    </row>
    <row r="45" spans="1:24" x14ac:dyDescent="0.25">
      <c r="A45" s="9"/>
      <c r="C45" s="115"/>
      <c r="F45" s="115"/>
      <c r="G45" s="124"/>
      <c r="H45" s="117"/>
      <c r="J45" s="118"/>
      <c r="K45" s="117"/>
      <c r="L45" s="115"/>
      <c r="M45" s="124"/>
      <c r="N45" s="117"/>
      <c r="O45" s="117"/>
      <c r="P45" s="118"/>
      <c r="Q45" s="117"/>
      <c r="R45" s="124"/>
      <c r="S45" s="117"/>
      <c r="T45" s="125"/>
      <c r="U45" s="117"/>
      <c r="W45" s="119"/>
    </row>
    <row r="46" spans="1:24" x14ac:dyDescent="0.25">
      <c r="A46" s="9" t="s">
        <v>23</v>
      </c>
      <c r="C46" s="115"/>
      <c r="F46" s="115"/>
      <c r="G46" s="116"/>
      <c r="H46" s="117"/>
      <c r="J46" s="118"/>
      <c r="K46" s="117"/>
      <c r="L46" s="115"/>
      <c r="M46" s="116"/>
      <c r="N46" s="117"/>
      <c r="O46" s="117"/>
      <c r="P46" s="118"/>
      <c r="Q46" s="117"/>
      <c r="R46" s="116"/>
      <c r="S46" s="117"/>
      <c r="T46" s="117"/>
      <c r="U46" s="117"/>
      <c r="W46" s="119"/>
    </row>
    <row r="47" spans="1:24" ht="15.75" x14ac:dyDescent="0.25">
      <c r="A47" s="10" t="s">
        <v>11</v>
      </c>
      <c r="C47" s="59">
        <f t="shared" ref="C47:C55" si="50">D47-G47</f>
        <v>500</v>
      </c>
      <c r="D47" s="328">
        <v>1500</v>
      </c>
      <c r="F47" s="59">
        <f t="shared" ref="F47:F55" si="51">G47-M47</f>
        <v>-1000</v>
      </c>
      <c r="G47" s="116">
        <v>1000</v>
      </c>
      <c r="H47" s="60">
        <f t="shared" ref="H47:H55" si="52">G47/12*10</f>
        <v>833.33333333333326</v>
      </c>
      <c r="I47" s="327">
        <v>1785</v>
      </c>
      <c r="J47" s="60">
        <f t="shared" ref="J47:J55" si="53">H47-I47</f>
        <v>-951.66666666666674</v>
      </c>
      <c r="K47" s="63"/>
      <c r="L47" s="61">
        <f t="shared" ref="L47:L55" si="54">M47-R47</f>
        <v>-1500</v>
      </c>
      <c r="M47" s="116">
        <v>2000</v>
      </c>
      <c r="N47" s="60">
        <f t="shared" ref="N47:N55" si="55">M47/12*10</f>
        <v>1666.6666666666665</v>
      </c>
      <c r="O47" s="60">
        <v>760.17</v>
      </c>
      <c r="P47" s="60">
        <f t="shared" ref="P47:P55" si="56">N47-O47</f>
        <v>906.49666666666656</v>
      </c>
      <c r="Q47" s="117"/>
      <c r="R47" s="116">
        <v>3500</v>
      </c>
      <c r="S47" s="60">
        <f t="shared" ref="S47:S54" si="57">R47/12*10</f>
        <v>2916.666666666667</v>
      </c>
      <c r="T47" s="117">
        <v>3591.24</v>
      </c>
      <c r="U47" s="63">
        <f t="shared" ref="U47:U54" si="58">S47-T47</f>
        <v>-674.57333333333281</v>
      </c>
      <c r="W47" s="119"/>
    </row>
    <row r="48" spans="1:24" ht="15.75" x14ac:dyDescent="0.25">
      <c r="A48" s="125" t="s">
        <v>79</v>
      </c>
      <c r="B48" s="32" t="s">
        <v>167</v>
      </c>
      <c r="C48" s="59">
        <f t="shared" si="50"/>
        <v>-35.400000000000006</v>
      </c>
      <c r="D48" s="329">
        <v>168</v>
      </c>
      <c r="E48" s="308"/>
      <c r="F48" s="59">
        <f t="shared" si="51"/>
        <v>3.4000000000000057</v>
      </c>
      <c r="G48" s="85">
        <f>M48+(M48*$C$71)</f>
        <v>203.4</v>
      </c>
      <c r="H48" s="60">
        <f t="shared" si="52"/>
        <v>169.5</v>
      </c>
      <c r="I48" s="327">
        <v>168</v>
      </c>
      <c r="J48" s="60">
        <f t="shared" si="53"/>
        <v>1.5</v>
      </c>
      <c r="K48" s="63"/>
      <c r="L48" s="61">
        <f t="shared" si="54"/>
        <v>80</v>
      </c>
      <c r="M48" s="116">
        <v>200</v>
      </c>
      <c r="N48" s="60">
        <f t="shared" si="55"/>
        <v>166.66666666666669</v>
      </c>
      <c r="O48" s="60">
        <v>917.24</v>
      </c>
      <c r="P48" s="60">
        <f t="shared" si="56"/>
        <v>-750.57333333333327</v>
      </c>
      <c r="Q48" s="117"/>
      <c r="R48" s="116">
        <v>120</v>
      </c>
      <c r="S48" s="60">
        <f t="shared" si="57"/>
        <v>100</v>
      </c>
      <c r="T48" s="117">
        <v>58</v>
      </c>
      <c r="U48" s="63">
        <f t="shared" si="58"/>
        <v>42</v>
      </c>
      <c r="W48" s="119"/>
    </row>
    <row r="49" spans="1:24" ht="15.75" x14ac:dyDescent="0.25">
      <c r="A49" s="50" t="s">
        <v>13</v>
      </c>
      <c r="B49" s="32" t="s">
        <v>167</v>
      </c>
      <c r="C49" s="59">
        <f t="shared" si="50"/>
        <v>-65.400000000000006</v>
      </c>
      <c r="D49" s="329">
        <v>138</v>
      </c>
      <c r="E49" s="308"/>
      <c r="F49" s="59">
        <f t="shared" si="51"/>
        <v>3.4000000000000057</v>
      </c>
      <c r="G49" s="85">
        <f>M49+(M49*$C$71)</f>
        <v>203.4</v>
      </c>
      <c r="H49" s="60">
        <f t="shared" si="52"/>
        <v>169.5</v>
      </c>
      <c r="I49" s="327">
        <v>271</v>
      </c>
      <c r="J49" s="60">
        <f t="shared" si="53"/>
        <v>-101.5</v>
      </c>
      <c r="K49" s="63"/>
      <c r="L49" s="61">
        <f t="shared" si="54"/>
        <v>100</v>
      </c>
      <c r="M49" s="116">
        <v>200</v>
      </c>
      <c r="N49" s="60">
        <f t="shared" si="55"/>
        <v>166.66666666666669</v>
      </c>
      <c r="O49" s="60">
        <v>216.16</v>
      </c>
      <c r="P49" s="60">
        <f t="shared" si="56"/>
        <v>-49.493333333333311</v>
      </c>
      <c r="Q49" s="117"/>
      <c r="R49" s="116">
        <v>100</v>
      </c>
      <c r="S49" s="60">
        <f t="shared" si="57"/>
        <v>83.333333333333343</v>
      </c>
      <c r="T49" s="117">
        <v>0</v>
      </c>
      <c r="U49" s="63">
        <f t="shared" si="58"/>
        <v>83.333333333333343</v>
      </c>
      <c r="W49" s="119"/>
    </row>
    <row r="50" spans="1:24" ht="15.75" x14ac:dyDescent="0.25">
      <c r="A50" s="50" t="s">
        <v>12</v>
      </c>
      <c r="B50" s="32" t="s">
        <v>167</v>
      </c>
      <c r="C50" s="59">
        <f t="shared" si="50"/>
        <v>97.449999999999989</v>
      </c>
      <c r="D50" s="329">
        <v>250</v>
      </c>
      <c r="E50" s="308"/>
      <c r="F50" s="59">
        <f t="shared" si="51"/>
        <v>2.5500000000000114</v>
      </c>
      <c r="G50" s="85">
        <f>M50+(M50*$C$71)</f>
        <v>152.55000000000001</v>
      </c>
      <c r="H50" s="60">
        <f t="shared" si="52"/>
        <v>127.125</v>
      </c>
      <c r="I50" s="327">
        <v>240</v>
      </c>
      <c r="J50" s="60">
        <f t="shared" si="53"/>
        <v>-112.875</v>
      </c>
      <c r="K50" s="63"/>
      <c r="L50" s="61">
        <f t="shared" si="54"/>
        <v>-150</v>
      </c>
      <c r="M50" s="116">
        <v>150</v>
      </c>
      <c r="N50" s="60">
        <f t="shared" si="55"/>
        <v>125</v>
      </c>
      <c r="O50" s="60">
        <v>370.84</v>
      </c>
      <c r="P50" s="60">
        <f t="shared" si="56"/>
        <v>-245.83999999999997</v>
      </c>
      <c r="Q50" s="117"/>
      <c r="R50" s="116">
        <v>300</v>
      </c>
      <c r="S50" s="60">
        <f t="shared" si="57"/>
        <v>250</v>
      </c>
      <c r="T50" s="117">
        <v>143.82</v>
      </c>
      <c r="U50" s="63">
        <f t="shared" si="58"/>
        <v>106.18</v>
      </c>
      <c r="W50" s="119"/>
    </row>
    <row r="51" spans="1:24" ht="15.75" x14ac:dyDescent="0.25">
      <c r="A51" s="50" t="s">
        <v>151</v>
      </c>
      <c r="B51" s="32" t="s">
        <v>167</v>
      </c>
      <c r="C51" s="59">
        <f t="shared" si="50"/>
        <v>-0.85000000000000142</v>
      </c>
      <c r="D51" s="329">
        <v>50</v>
      </c>
      <c r="E51" s="308"/>
      <c r="F51" s="59">
        <f t="shared" si="51"/>
        <v>0.85000000000000142</v>
      </c>
      <c r="G51" s="85">
        <f>M51+(M51*$C$71)</f>
        <v>50.85</v>
      </c>
      <c r="H51" s="60">
        <f t="shared" si="52"/>
        <v>42.375</v>
      </c>
      <c r="I51" s="327">
        <v>50</v>
      </c>
      <c r="J51" s="60">
        <f t="shared" si="53"/>
        <v>-7.625</v>
      </c>
      <c r="K51" s="63"/>
      <c r="L51" s="61">
        <f t="shared" si="54"/>
        <v>0</v>
      </c>
      <c r="M51" s="116">
        <v>50</v>
      </c>
      <c r="N51" s="60">
        <f t="shared" si="55"/>
        <v>41.666666666666671</v>
      </c>
      <c r="O51" s="60">
        <v>516</v>
      </c>
      <c r="P51" s="60">
        <f t="shared" si="56"/>
        <v>-474.33333333333331</v>
      </c>
      <c r="Q51" s="117"/>
      <c r="R51" s="116">
        <v>50</v>
      </c>
      <c r="S51" s="60">
        <f t="shared" si="57"/>
        <v>41.666666666666671</v>
      </c>
      <c r="T51" s="117">
        <v>30</v>
      </c>
      <c r="U51" s="63">
        <f t="shared" si="58"/>
        <v>11.666666666666671</v>
      </c>
      <c r="W51" s="119"/>
    </row>
    <row r="52" spans="1:24" ht="15.75" x14ac:dyDescent="0.25">
      <c r="A52" s="50" t="s">
        <v>52</v>
      </c>
      <c r="C52" s="59">
        <f t="shared" si="50"/>
        <v>-50</v>
      </c>
      <c r="D52" s="328">
        <v>350</v>
      </c>
      <c r="F52" s="59">
        <f t="shared" si="51"/>
        <v>100</v>
      </c>
      <c r="G52" s="116">
        <v>400</v>
      </c>
      <c r="H52" s="60">
        <f t="shared" si="52"/>
        <v>333.33333333333337</v>
      </c>
      <c r="I52" s="327">
        <v>246</v>
      </c>
      <c r="J52" s="60">
        <f t="shared" si="53"/>
        <v>87.333333333333371</v>
      </c>
      <c r="K52" s="63"/>
      <c r="L52" s="61">
        <f t="shared" si="54"/>
        <v>0</v>
      </c>
      <c r="M52" s="116">
        <v>300</v>
      </c>
      <c r="N52" s="60">
        <f t="shared" si="55"/>
        <v>250</v>
      </c>
      <c r="O52" s="60">
        <v>256</v>
      </c>
      <c r="P52" s="60">
        <f t="shared" si="56"/>
        <v>-6</v>
      </c>
      <c r="Q52" s="117"/>
      <c r="R52" s="116">
        <v>300</v>
      </c>
      <c r="S52" s="60">
        <f t="shared" si="57"/>
        <v>250</v>
      </c>
      <c r="T52" s="117">
        <v>2075</v>
      </c>
      <c r="U52" s="63">
        <f t="shared" si="58"/>
        <v>-1825</v>
      </c>
      <c r="W52" s="119"/>
    </row>
    <row r="53" spans="1:24" ht="15.75" x14ac:dyDescent="0.25">
      <c r="A53" s="50" t="s">
        <v>16</v>
      </c>
      <c r="B53" s="32" t="s">
        <v>167</v>
      </c>
      <c r="C53" s="59">
        <f t="shared" si="50"/>
        <v>-103.4</v>
      </c>
      <c r="D53" s="329">
        <v>100</v>
      </c>
      <c r="E53" s="308"/>
      <c r="F53" s="59">
        <f t="shared" si="51"/>
        <v>3.4000000000000057</v>
      </c>
      <c r="G53" s="85">
        <f>M53+(M53*$C$71)</f>
        <v>203.4</v>
      </c>
      <c r="H53" s="60">
        <f t="shared" si="52"/>
        <v>169.5</v>
      </c>
      <c r="I53" s="327">
        <v>0</v>
      </c>
      <c r="J53" s="60">
        <f t="shared" si="53"/>
        <v>169.5</v>
      </c>
      <c r="K53" s="63"/>
      <c r="L53" s="61">
        <f t="shared" si="54"/>
        <v>0</v>
      </c>
      <c r="M53" s="116">
        <v>200</v>
      </c>
      <c r="N53" s="60">
        <f t="shared" si="55"/>
        <v>166.66666666666669</v>
      </c>
      <c r="O53" s="60">
        <v>22.86</v>
      </c>
      <c r="P53" s="60">
        <f t="shared" si="56"/>
        <v>143.80666666666667</v>
      </c>
      <c r="Q53" s="117"/>
      <c r="R53" s="116">
        <v>200</v>
      </c>
      <c r="S53" s="60">
        <f t="shared" si="57"/>
        <v>166.66666666666669</v>
      </c>
      <c r="T53" s="117">
        <v>443.97</v>
      </c>
      <c r="U53" s="63">
        <f t="shared" si="58"/>
        <v>-277.30333333333334</v>
      </c>
      <c r="W53" s="187"/>
    </row>
    <row r="54" spans="1:24" ht="15.75" x14ac:dyDescent="0.25">
      <c r="A54" s="166" t="s">
        <v>39</v>
      </c>
      <c r="C54" s="59">
        <f t="shared" si="50"/>
        <v>-600</v>
      </c>
      <c r="D54" s="328">
        <v>600</v>
      </c>
      <c r="F54" s="59">
        <f t="shared" si="51"/>
        <v>0</v>
      </c>
      <c r="G54" s="116">
        <v>1200</v>
      </c>
      <c r="H54" s="60">
        <f t="shared" si="52"/>
        <v>1000</v>
      </c>
      <c r="I54" s="327">
        <v>430</v>
      </c>
      <c r="J54" s="60">
        <f t="shared" si="53"/>
        <v>570</v>
      </c>
      <c r="K54" s="63"/>
      <c r="L54" s="61">
        <f t="shared" si="54"/>
        <v>1000</v>
      </c>
      <c r="M54" s="116">
        <v>1200</v>
      </c>
      <c r="N54" s="60">
        <f t="shared" si="55"/>
        <v>1000</v>
      </c>
      <c r="O54" s="60">
        <v>2893.64</v>
      </c>
      <c r="P54" s="60">
        <f t="shared" si="56"/>
        <v>-1893.6399999999999</v>
      </c>
      <c r="Q54" s="117"/>
      <c r="R54" s="116">
        <v>200</v>
      </c>
      <c r="S54" s="60">
        <f t="shared" si="57"/>
        <v>166.66666666666669</v>
      </c>
      <c r="T54" s="117">
        <v>773.47</v>
      </c>
      <c r="U54" s="63">
        <f t="shared" si="58"/>
        <v>-606.80333333333328</v>
      </c>
      <c r="W54" s="119" t="s">
        <v>127</v>
      </c>
    </row>
    <row r="55" spans="1:24" ht="15.75" x14ac:dyDescent="0.25">
      <c r="A55" s="166" t="s">
        <v>334</v>
      </c>
      <c r="C55" s="59">
        <f t="shared" si="50"/>
        <v>0.46031746031746934</v>
      </c>
      <c r="D55" s="328">
        <v>655</v>
      </c>
      <c r="F55" s="59">
        <f t="shared" si="51"/>
        <v>654.53968253968253</v>
      </c>
      <c r="G55" s="116">
        <f>Reserves!X6</f>
        <v>654.53968253968253</v>
      </c>
      <c r="H55" s="60">
        <f t="shared" si="52"/>
        <v>545.4497354497355</v>
      </c>
      <c r="I55" s="327">
        <v>708</v>
      </c>
      <c r="J55" s="60">
        <f t="shared" si="53"/>
        <v>-162.5502645502645</v>
      </c>
      <c r="K55" s="63"/>
      <c r="L55" s="61">
        <f t="shared" si="54"/>
        <v>0</v>
      </c>
      <c r="M55" s="116"/>
      <c r="N55" s="60">
        <f t="shared" si="55"/>
        <v>0</v>
      </c>
      <c r="O55" s="60">
        <v>0</v>
      </c>
      <c r="P55" s="60">
        <f t="shared" si="56"/>
        <v>0</v>
      </c>
      <c r="Q55" s="117"/>
      <c r="R55" s="116"/>
      <c r="S55" s="117"/>
      <c r="T55" s="117"/>
      <c r="U55" s="117"/>
      <c r="W55" s="119" t="s">
        <v>153</v>
      </c>
    </row>
    <row r="56" spans="1:24" ht="15.75" x14ac:dyDescent="0.25">
      <c r="A56" s="166"/>
      <c r="C56" s="59"/>
      <c r="F56" s="59"/>
      <c r="G56" s="116"/>
      <c r="H56" s="60"/>
      <c r="J56" s="60"/>
      <c r="K56" s="63"/>
      <c r="L56" s="61"/>
      <c r="M56" s="116"/>
      <c r="N56" s="60"/>
      <c r="O56" s="60"/>
      <c r="P56" s="60"/>
      <c r="Q56" s="117"/>
      <c r="R56" s="116"/>
      <c r="S56" s="117"/>
      <c r="T56" s="117"/>
      <c r="U56" s="117"/>
      <c r="W56" s="119"/>
    </row>
    <row r="57" spans="1:24" ht="15.75" thickBot="1" x14ac:dyDescent="0.3">
      <c r="A57" s="138" t="s">
        <v>171</v>
      </c>
      <c r="C57" s="120">
        <f>SUM(C46:C56)</f>
        <v>-257.13968253968255</v>
      </c>
      <c r="D57" s="121">
        <f>SUM(D46:D56)</f>
        <v>3811</v>
      </c>
      <c r="E57" s="124"/>
      <c r="F57" s="120">
        <f>SUM(F46:F56)</f>
        <v>-231.86031746031756</v>
      </c>
      <c r="G57" s="121">
        <f>SUM(G46:G56)</f>
        <v>4068.1396825396823</v>
      </c>
      <c r="H57" s="122">
        <f>SUM(H46:H56)</f>
        <v>3390.1164021164022</v>
      </c>
      <c r="I57" s="122">
        <f>SUM(I46:I56)</f>
        <v>3898</v>
      </c>
      <c r="J57" s="122">
        <f>SUM(J46:J56)</f>
        <v>-507.88359788359799</v>
      </c>
      <c r="K57" s="117"/>
      <c r="L57" s="120">
        <f>SUM(L46:L56)</f>
        <v>-470</v>
      </c>
      <c r="M57" s="121">
        <f>SUM(M46:M56)</f>
        <v>4300</v>
      </c>
      <c r="N57" s="122">
        <f>SUM(N46:N56)</f>
        <v>3583.333333333333</v>
      </c>
      <c r="O57" s="122">
        <f>SUM(O46:O56)</f>
        <v>5952.91</v>
      </c>
      <c r="P57" s="122">
        <f>SUM(P46:P56)</f>
        <v>-2369.5766666666664</v>
      </c>
      <c r="Q57" s="117"/>
      <c r="R57" s="121">
        <f>SUM(R46:R56)</f>
        <v>4770</v>
      </c>
      <c r="S57" s="122">
        <f>SUM(S46:S56)</f>
        <v>3975</v>
      </c>
      <c r="T57" s="122">
        <f>SUM(T46:T56)</f>
        <v>7115.5</v>
      </c>
      <c r="U57" s="122">
        <f>SUM(U46:U56)</f>
        <v>-3140.4999999999991</v>
      </c>
      <c r="W57" s="119"/>
    </row>
    <row r="58" spans="1:24" x14ac:dyDescent="0.25">
      <c r="A58" s="9"/>
      <c r="C58" s="115"/>
      <c r="F58" s="115"/>
      <c r="G58" s="124"/>
      <c r="H58" s="117"/>
      <c r="J58" s="118"/>
      <c r="K58" s="117"/>
      <c r="L58" s="115"/>
      <c r="M58" s="124"/>
      <c r="N58" s="117"/>
      <c r="O58" s="117"/>
      <c r="P58" s="118"/>
      <c r="Q58" s="117"/>
      <c r="R58" s="124"/>
      <c r="S58" s="117"/>
      <c r="T58" s="125"/>
      <c r="U58" s="117"/>
      <c r="W58" s="119"/>
    </row>
    <row r="59" spans="1:24" x14ac:dyDescent="0.25">
      <c r="A59" s="9" t="s">
        <v>35</v>
      </c>
      <c r="C59" s="115"/>
      <c r="F59" s="115"/>
      <c r="G59" s="116"/>
      <c r="H59" s="117"/>
      <c r="J59" s="118"/>
      <c r="K59" s="117"/>
      <c r="L59" s="115"/>
      <c r="M59" s="116"/>
      <c r="N59" s="117"/>
      <c r="O59" s="117"/>
      <c r="P59" s="118"/>
      <c r="Q59" s="117"/>
      <c r="R59" s="116"/>
      <c r="S59" s="117"/>
      <c r="T59" s="117"/>
      <c r="U59" s="117"/>
      <c r="W59" s="119"/>
    </row>
    <row r="60" spans="1:24" ht="15.75" x14ac:dyDescent="0.25">
      <c r="A60" s="7" t="s">
        <v>94</v>
      </c>
      <c r="C60" s="59">
        <f>D60-G60</f>
        <v>-98</v>
      </c>
      <c r="D60" s="328">
        <v>1000</v>
      </c>
      <c r="F60" s="59">
        <f>G60-M60</f>
        <v>698</v>
      </c>
      <c r="G60" s="116">
        <v>1098</v>
      </c>
      <c r="H60" s="60">
        <f t="shared" ref="H60:H61" si="59">G60/12*10</f>
        <v>915</v>
      </c>
      <c r="I60" s="327">
        <v>974</v>
      </c>
      <c r="J60" s="60">
        <f t="shared" ref="J60:J61" si="60">H60-I60</f>
        <v>-59</v>
      </c>
      <c r="K60" s="63"/>
      <c r="L60" s="61">
        <f t="shared" ref="L60:L61" si="61">M60-R60</f>
        <v>100</v>
      </c>
      <c r="M60" s="116">
        <v>400</v>
      </c>
      <c r="N60" s="60">
        <f t="shared" ref="N60:N61" si="62">M60/12*10</f>
        <v>333.33333333333337</v>
      </c>
      <c r="O60" s="60">
        <v>398.31</v>
      </c>
      <c r="P60" s="60">
        <f t="shared" ref="P60:P61" si="63">N60-O60</f>
        <v>-64.976666666666631</v>
      </c>
      <c r="Q60" s="117"/>
      <c r="R60" s="116">
        <v>300</v>
      </c>
      <c r="S60" s="60">
        <f t="shared" ref="S60:S61" si="64">R60/12*10</f>
        <v>250</v>
      </c>
      <c r="T60" s="117">
        <v>376</v>
      </c>
      <c r="U60" s="63">
        <f t="shared" ref="U60:U61" si="65">S60-T60</f>
        <v>-126</v>
      </c>
      <c r="W60" s="119" t="s">
        <v>154</v>
      </c>
    </row>
    <row r="61" spans="1:24" ht="15.75" x14ac:dyDescent="0.25">
      <c r="A61" s="125" t="s">
        <v>95</v>
      </c>
      <c r="C61" s="59">
        <f>D61-G61</f>
        <v>-36.859287054409009</v>
      </c>
      <c r="D61" s="328">
        <v>193</v>
      </c>
      <c r="F61" s="59">
        <f>G61-M61</f>
        <v>-20.140712945590991</v>
      </c>
      <c r="G61" s="116">
        <f>Insurance!L23</f>
        <v>229.85928705440901</v>
      </c>
      <c r="H61" s="60">
        <f t="shared" si="59"/>
        <v>191.54940587867418</v>
      </c>
      <c r="I61" s="327">
        <v>186</v>
      </c>
      <c r="J61" s="60">
        <f t="shared" si="60"/>
        <v>5.5494058786741789</v>
      </c>
      <c r="K61" s="63"/>
      <c r="L61" s="61">
        <f t="shared" si="61"/>
        <v>50</v>
      </c>
      <c r="M61" s="116">
        <v>250</v>
      </c>
      <c r="N61" s="60">
        <f t="shared" si="62"/>
        <v>208.33333333333331</v>
      </c>
      <c r="O61" s="60">
        <v>0</v>
      </c>
      <c r="P61" s="60">
        <f t="shared" si="63"/>
        <v>208.33333333333331</v>
      </c>
      <c r="Q61" s="117"/>
      <c r="R61" s="116">
        <v>200</v>
      </c>
      <c r="S61" s="60">
        <f t="shared" si="64"/>
        <v>166.66666666666669</v>
      </c>
      <c r="T61" s="117">
        <v>250</v>
      </c>
      <c r="U61" s="63">
        <f t="shared" si="65"/>
        <v>-83.333333333333314</v>
      </c>
      <c r="W61" s="165"/>
      <c r="X61" s="48"/>
    </row>
    <row r="62" spans="1:24" ht="15.75" x14ac:dyDescent="0.25">
      <c r="A62" s="35"/>
      <c r="C62" s="59"/>
      <c r="F62" s="59"/>
      <c r="G62" s="116"/>
      <c r="H62" s="60"/>
      <c r="J62" s="60"/>
      <c r="K62" s="63"/>
      <c r="L62" s="61"/>
      <c r="M62" s="116"/>
      <c r="N62" s="60"/>
      <c r="O62" s="60"/>
      <c r="P62" s="60"/>
      <c r="Q62" s="117"/>
      <c r="R62" s="116"/>
      <c r="S62" s="60"/>
      <c r="T62" s="117"/>
      <c r="U62" s="63"/>
    </row>
    <row r="63" spans="1:24" ht="15.75" thickBot="1" x14ac:dyDescent="0.3">
      <c r="A63" s="138" t="s">
        <v>192</v>
      </c>
      <c r="C63" s="120">
        <f t="shared" ref="C63:D63" si="66">SUM(C59:C62)</f>
        <v>-134.85928705440901</v>
      </c>
      <c r="D63" s="121">
        <f t="shared" si="66"/>
        <v>1193</v>
      </c>
      <c r="E63" s="124"/>
      <c r="F63" s="120">
        <f t="shared" ref="F63:I63" si="67">SUM(F59:F62)</f>
        <v>677.85928705440904</v>
      </c>
      <c r="G63" s="121">
        <f t="shared" si="67"/>
        <v>1327.8592870544089</v>
      </c>
      <c r="H63" s="122">
        <f t="shared" si="67"/>
        <v>1106.5494058786742</v>
      </c>
      <c r="I63" s="122">
        <f t="shared" si="67"/>
        <v>1160</v>
      </c>
      <c r="J63" s="122">
        <f t="shared" ref="J63" si="68">SUM(J59:J62)</f>
        <v>-53.450594121325821</v>
      </c>
      <c r="K63" s="117"/>
      <c r="L63" s="120">
        <f t="shared" ref="L63:P63" si="69">SUM(L59:L62)</f>
        <v>150</v>
      </c>
      <c r="M63" s="121">
        <f t="shared" si="69"/>
        <v>650</v>
      </c>
      <c r="N63" s="122">
        <f t="shared" si="69"/>
        <v>541.66666666666674</v>
      </c>
      <c r="O63" s="122">
        <f t="shared" si="69"/>
        <v>398.31</v>
      </c>
      <c r="P63" s="122">
        <f t="shared" si="69"/>
        <v>143.35666666666668</v>
      </c>
      <c r="Q63" s="117"/>
      <c r="R63" s="121">
        <f>SUM(R59:R62)</f>
        <v>500</v>
      </c>
      <c r="S63" s="122">
        <f t="shared" ref="S63:U63" si="70">SUM(S59:S62)</f>
        <v>416.66666666666669</v>
      </c>
      <c r="T63" s="122">
        <f t="shared" si="70"/>
        <v>626</v>
      </c>
      <c r="U63" s="122">
        <f t="shared" si="70"/>
        <v>-209.33333333333331</v>
      </c>
    </row>
    <row r="64" spans="1:24" x14ac:dyDescent="0.25">
      <c r="A64" s="9"/>
      <c r="C64" s="115"/>
      <c r="D64" s="124"/>
      <c r="E64" s="124"/>
      <c r="F64" s="115"/>
      <c r="G64" s="124"/>
      <c r="H64" s="117"/>
      <c r="I64" s="117"/>
      <c r="J64" s="118"/>
      <c r="K64" s="117"/>
      <c r="L64" s="115"/>
      <c r="M64" s="124"/>
      <c r="N64" s="117"/>
      <c r="O64" s="117"/>
      <c r="P64" s="118"/>
      <c r="Q64" s="117"/>
      <c r="R64" s="124"/>
      <c r="S64" s="117"/>
      <c r="T64" s="125"/>
      <c r="U64" s="117"/>
    </row>
    <row r="65" spans="1:24" ht="15.75" thickBot="1" x14ac:dyDescent="0.3">
      <c r="A65" s="138" t="s">
        <v>169</v>
      </c>
      <c r="C65" s="169">
        <f>C14+C26+C33+C44+C57+C63</f>
        <v>121.19103040590872</v>
      </c>
      <c r="D65" s="168">
        <f>D14+D26+D33+D44+D57+D63</f>
        <v>53988</v>
      </c>
      <c r="E65" s="325"/>
      <c r="F65" s="169">
        <f>F14+F26+F33+F44+F57+F63</f>
        <v>3206.8089695940916</v>
      </c>
      <c r="G65" s="168">
        <f>G14+G26+G33+G44+G57+G63</f>
        <v>53266.808969594087</v>
      </c>
      <c r="H65" s="167">
        <f>H14+H26+H33+H44+H57+H63</f>
        <v>44389.007474661739</v>
      </c>
      <c r="I65" s="167">
        <f>I14+I26+I33+I44+I57+I63</f>
        <v>44238</v>
      </c>
      <c r="J65" s="167">
        <f>J14+J26+J33+J44+J57+J63</f>
        <v>1228.0074746617418</v>
      </c>
      <c r="K65" s="117"/>
      <c r="L65" s="169">
        <f>L14+L26+L33+L44+L57+L63</f>
        <v>8185</v>
      </c>
      <c r="M65" s="168">
        <f>M14+M26+M33+M44+M57+M63</f>
        <v>50060</v>
      </c>
      <c r="N65" s="167">
        <f>N14+N26+N33+N44+N57+N63</f>
        <v>41716.666666666664</v>
      </c>
      <c r="O65" s="167">
        <f>O14+O26+O33+O44+O57+O63</f>
        <v>46917.582999999999</v>
      </c>
      <c r="P65" s="167">
        <f>P14+P26+P33+P44+P57+P63</f>
        <v>-5200.9163333333345</v>
      </c>
      <c r="Q65" s="117"/>
      <c r="R65" s="168">
        <f>R14+R26+R33+R44+R57+R63</f>
        <v>41875</v>
      </c>
      <c r="S65" s="167">
        <f>S14+S26+S33+S44+S57+S63</f>
        <v>34895.833333333336</v>
      </c>
      <c r="T65" s="167">
        <f>T14+T26+T33+T44+T57+T63</f>
        <v>57941.08</v>
      </c>
      <c r="U65" s="167">
        <f>U14+U26+U33+U44+U57+U63</f>
        <v>-23045.246666666662</v>
      </c>
    </row>
    <row r="66" spans="1:24" x14ac:dyDescent="0.25">
      <c r="A66" s="10"/>
      <c r="C66" s="115"/>
      <c r="F66" s="115"/>
      <c r="G66" s="116"/>
      <c r="H66" s="117"/>
      <c r="J66" s="118"/>
      <c r="K66" s="117"/>
      <c r="L66" s="115"/>
      <c r="M66" s="124"/>
      <c r="N66" s="117"/>
      <c r="O66" s="117"/>
      <c r="P66" s="118"/>
      <c r="Q66" s="117"/>
      <c r="R66" s="124"/>
      <c r="S66" s="117"/>
      <c r="T66" s="125"/>
      <c r="U66" s="117"/>
    </row>
    <row r="67" spans="1:24" ht="15.75" x14ac:dyDescent="0.25">
      <c r="A67" s="150" t="s">
        <v>100</v>
      </c>
      <c r="C67" s="59">
        <f>D67-G67</f>
        <v>-1800</v>
      </c>
      <c r="D67" s="305">
        <f>Reserves!F6</f>
        <v>10200</v>
      </c>
      <c r="E67" s="305"/>
      <c r="F67" s="59">
        <f>G67-M67</f>
        <v>0</v>
      </c>
      <c r="G67" s="116">
        <v>12000</v>
      </c>
      <c r="H67" s="60">
        <f>G67/12*10</f>
        <v>10000</v>
      </c>
      <c r="I67" s="327"/>
      <c r="J67" s="60">
        <f>H67-I67</f>
        <v>10000</v>
      </c>
      <c r="K67" s="63"/>
      <c r="L67" s="61">
        <f>M67-R67</f>
        <v>0</v>
      </c>
      <c r="M67" s="116">
        <v>12000</v>
      </c>
      <c r="N67" s="60">
        <f>M67/12*10</f>
        <v>10000</v>
      </c>
      <c r="O67" s="60">
        <v>0</v>
      </c>
      <c r="P67" s="60">
        <f>N67-O67</f>
        <v>10000</v>
      </c>
      <c r="Q67" s="117"/>
      <c r="R67" s="116">
        <v>12000</v>
      </c>
      <c r="S67" s="60">
        <f>R67/12*10</f>
        <v>10000</v>
      </c>
      <c r="T67" s="117"/>
      <c r="U67" s="63">
        <f>S67-T67</f>
        <v>10000</v>
      </c>
    </row>
    <row r="68" spans="1:24" ht="15.75" x14ac:dyDescent="0.25">
      <c r="A68" s="10"/>
      <c r="C68" s="59"/>
      <c r="F68" s="59"/>
      <c r="G68" s="116"/>
      <c r="H68" s="60"/>
      <c r="J68" s="60"/>
      <c r="K68" s="63"/>
      <c r="L68" s="61"/>
      <c r="M68" s="116"/>
      <c r="N68" s="60"/>
      <c r="O68" s="60"/>
      <c r="P68" s="60"/>
      <c r="Q68" s="117"/>
      <c r="R68" s="116"/>
      <c r="S68" s="60"/>
      <c r="T68" s="117"/>
      <c r="U68" s="63"/>
    </row>
    <row r="69" spans="1:24" ht="15.75" thickBot="1" x14ac:dyDescent="0.3">
      <c r="A69" s="138" t="s">
        <v>1</v>
      </c>
      <c r="C69" s="169">
        <f t="shared" ref="C69" si="71">SUM(C65:C68)</f>
        <v>-1678.8089695940912</v>
      </c>
      <c r="D69" s="168">
        <f t="shared" ref="D69" si="72">SUM(D65:D68)</f>
        <v>64188</v>
      </c>
      <c r="E69" s="325"/>
      <c r="F69" s="169">
        <f>SUM(F65:F68)</f>
        <v>3206.8089695940916</v>
      </c>
      <c r="G69" s="168">
        <f>SUM(G65:G68)</f>
        <v>65266.808969594087</v>
      </c>
      <c r="H69" s="167">
        <f t="shared" ref="H69:I69" si="73">SUM(H65:H68)</f>
        <v>54389.007474661739</v>
      </c>
      <c r="I69" s="167">
        <f t="shared" si="73"/>
        <v>44238</v>
      </c>
      <c r="J69" s="167">
        <f t="shared" ref="J69" si="74">SUM(J65:J68)</f>
        <v>11228.007474661741</v>
      </c>
      <c r="K69" s="117"/>
      <c r="L69" s="169">
        <f t="shared" ref="L69:P69" si="75">SUM(L65:L68)</f>
        <v>8185</v>
      </c>
      <c r="M69" s="168">
        <f t="shared" si="75"/>
        <v>62060</v>
      </c>
      <c r="N69" s="167">
        <f t="shared" si="75"/>
        <v>51716.666666666664</v>
      </c>
      <c r="O69" s="167">
        <f t="shared" si="75"/>
        <v>46917.582999999999</v>
      </c>
      <c r="P69" s="167">
        <f t="shared" si="75"/>
        <v>4799.0836666666655</v>
      </c>
      <c r="Q69" s="117"/>
      <c r="R69" s="168">
        <f>SUM(R65:R68)</f>
        <v>53875</v>
      </c>
      <c r="S69" s="167">
        <f t="shared" ref="S69:U69" si="76">SUM(S65:S68)</f>
        <v>44895.833333333336</v>
      </c>
      <c r="T69" s="167">
        <f t="shared" si="76"/>
        <v>57941.08</v>
      </c>
      <c r="U69" s="167">
        <f t="shared" si="76"/>
        <v>-13045.246666666662</v>
      </c>
      <c r="W69" s="158">
        <f>SUM(B69:V69)</f>
        <v>558182.82391891745</v>
      </c>
      <c r="X69" s="159" t="s">
        <v>174</v>
      </c>
    </row>
    <row r="70" spans="1:24" x14ac:dyDescent="0.25">
      <c r="F70" s="32"/>
      <c r="G70" s="32"/>
      <c r="J70" s="75"/>
      <c r="R70" s="37"/>
    </row>
    <row r="71" spans="1:24" x14ac:dyDescent="0.25">
      <c r="A71" s="5" t="s">
        <v>166</v>
      </c>
      <c r="B71" s="5"/>
      <c r="C71" s="100">
        <f>Summary!$C$25</f>
        <v>1.7000000000000001E-2</v>
      </c>
      <c r="D71" s="306"/>
      <c r="E71" s="306"/>
      <c r="F71" s="32"/>
      <c r="G71" s="32"/>
      <c r="H71" s="306"/>
      <c r="J71" s="75"/>
    </row>
    <row r="72" spans="1:24" ht="18" customHeight="1" x14ac:dyDescent="0.25">
      <c r="F72" s="32"/>
      <c r="G72" s="32"/>
    </row>
    <row r="73" spans="1:24" ht="18.75" x14ac:dyDescent="0.25">
      <c r="A73" s="351" t="s">
        <v>267</v>
      </c>
      <c r="B73" s="352"/>
      <c r="C73" s="353" t="s">
        <v>236</v>
      </c>
      <c r="D73" s="354" t="s">
        <v>237</v>
      </c>
      <c r="F73" s="356" t="s">
        <v>268</v>
      </c>
      <c r="G73" s="32"/>
    </row>
    <row r="74" spans="1:24" x14ac:dyDescent="0.25">
      <c r="A74" s="236" t="s">
        <v>290</v>
      </c>
      <c r="B74" s="237"/>
      <c r="C74" s="239">
        <v>1700</v>
      </c>
      <c r="D74" s="239"/>
      <c r="F74" s="32"/>
      <c r="G74" s="32"/>
    </row>
    <row r="75" spans="1:24" x14ac:dyDescent="0.25">
      <c r="A75" s="192" t="s">
        <v>291</v>
      </c>
      <c r="B75" s="237"/>
      <c r="C75" s="239"/>
      <c r="D75" s="239">
        <v>10187</v>
      </c>
      <c r="F75" s="32"/>
      <c r="G75" s="32"/>
    </row>
    <row r="76" spans="1:24" x14ac:dyDescent="0.25">
      <c r="A76" s="192" t="s">
        <v>292</v>
      </c>
      <c r="B76" s="237"/>
      <c r="C76" s="238">
        <v>600</v>
      </c>
      <c r="D76" s="239"/>
      <c r="F76" s="32"/>
      <c r="G76" s="32"/>
    </row>
    <row r="77" spans="1:24" x14ac:dyDescent="0.25">
      <c r="A77" s="192" t="s">
        <v>293</v>
      </c>
      <c r="B77" s="237"/>
      <c r="C77" s="238">
        <v>4200</v>
      </c>
      <c r="D77" s="239"/>
      <c r="F77" s="32"/>
      <c r="G77" s="32"/>
    </row>
    <row r="78" spans="1:24" x14ac:dyDescent="0.25">
      <c r="A78" s="194" t="s">
        <v>294</v>
      </c>
      <c r="B78" s="193"/>
      <c r="C78" s="191">
        <v>1150</v>
      </c>
      <c r="D78" s="191"/>
      <c r="F78" s="32"/>
      <c r="G78" s="32"/>
    </row>
    <row r="79" spans="1:24" x14ac:dyDescent="0.25">
      <c r="A79" s="194" t="s">
        <v>295</v>
      </c>
      <c r="B79" s="193"/>
      <c r="C79" s="191">
        <v>800</v>
      </c>
      <c r="D79" s="191"/>
      <c r="F79" s="32"/>
      <c r="G79" s="32"/>
    </row>
    <row r="80" spans="1:24" x14ac:dyDescent="0.25">
      <c r="A80" s="194"/>
      <c r="B80" s="193"/>
      <c r="C80" s="191"/>
      <c r="D80" s="191"/>
      <c r="F80" s="32"/>
      <c r="G80" s="32"/>
    </row>
    <row r="81" spans="1:7" x14ac:dyDescent="0.25">
      <c r="A81" s="194"/>
      <c r="B81" s="193"/>
      <c r="C81" s="191"/>
      <c r="D81" s="191"/>
      <c r="F81" s="32"/>
      <c r="G81" s="32"/>
    </row>
    <row r="82" spans="1:7" x14ac:dyDescent="0.25">
      <c r="A82" s="194"/>
      <c r="B82" s="193"/>
      <c r="C82" s="191"/>
      <c r="D82" s="191"/>
    </row>
    <row r="83" spans="1:7" x14ac:dyDescent="0.25">
      <c r="A83" s="221"/>
      <c r="B83" s="237"/>
      <c r="C83" s="238"/>
      <c r="D83" s="238"/>
    </row>
    <row r="84" spans="1:7" x14ac:dyDescent="0.25">
      <c r="A84" s="240" t="s">
        <v>201</v>
      </c>
      <c r="B84" s="241"/>
      <c r="C84" s="242">
        <f>SUM(C74:C83)</f>
        <v>8450</v>
      </c>
      <c r="D84" s="242">
        <f>SUM(D74:D83)</f>
        <v>10187</v>
      </c>
    </row>
    <row r="85" spans="1:7" x14ac:dyDescent="0.25">
      <c r="A85" s="295"/>
      <c r="B85" s="226"/>
      <c r="C85" s="226"/>
      <c r="D85" s="303"/>
    </row>
    <row r="86" spans="1:7" ht="30" customHeight="1" x14ac:dyDescent="0.25">
      <c r="A86" s="414"/>
      <c r="B86" s="415"/>
      <c r="C86" s="415"/>
      <c r="D86" s="415"/>
      <c r="E86" s="425"/>
      <c r="F86" s="425"/>
    </row>
    <row r="87" spans="1:7" ht="30" customHeight="1" x14ac:dyDescent="0.25">
      <c r="A87" s="414"/>
      <c r="B87" s="415"/>
      <c r="C87" s="415"/>
      <c r="D87" s="415"/>
      <c r="E87" s="425"/>
      <c r="F87" s="425"/>
    </row>
    <row r="88" spans="1:7" ht="30" customHeight="1" x14ac:dyDescent="0.25">
      <c r="A88" s="414"/>
      <c r="B88" s="415"/>
      <c r="C88" s="415"/>
      <c r="D88" s="415"/>
      <c r="E88" s="425"/>
      <c r="F88" s="425"/>
    </row>
  </sheetData>
  <mergeCells count="17">
    <mergeCell ref="G4:H4"/>
    <mergeCell ref="H5:J5"/>
    <mergeCell ref="F3:J3"/>
    <mergeCell ref="R3:U3"/>
    <mergeCell ref="F4:F5"/>
    <mergeCell ref="L4:L5"/>
    <mergeCell ref="M4:N4"/>
    <mergeCell ref="R4:S4"/>
    <mergeCell ref="N5:P5"/>
    <mergeCell ref="S5:U5"/>
    <mergeCell ref="L3:P3"/>
    <mergeCell ref="A86:F86"/>
    <mergeCell ref="A87:F87"/>
    <mergeCell ref="A88:F88"/>
    <mergeCell ref="C3:D3"/>
    <mergeCell ref="C4:C5"/>
    <mergeCell ref="D4:D5"/>
  </mergeCells>
  <phoneticPr fontId="20" type="noConversion"/>
  <pageMargins left="0.70866141732283472" right="0.70866141732283472" top="7.874015748031496E-2" bottom="7.874015748031496E-2" header="0.31496062992125984" footer="0.31496062992125984"/>
  <pageSetup scale="60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B70"/>
  <sheetViews>
    <sheetView showGridLines="0" zoomScale="80" zoomScaleNormal="80" workbookViewId="0">
      <pane ySplit="5" topLeftCell="A19" activePane="bottomLeft" state="frozen"/>
      <selection pane="bottomLeft" activeCell="I39" sqref="I39"/>
    </sheetView>
  </sheetViews>
  <sheetFormatPr defaultColWidth="9.140625" defaultRowHeight="15" x14ac:dyDescent="0.2"/>
  <cols>
    <col min="1" max="1" width="40.7109375" style="272" customWidth="1"/>
    <col min="2" max="2" width="2.7109375" style="272" customWidth="1"/>
    <col min="3" max="3" width="11.7109375" style="295" customWidth="1"/>
    <col min="4" max="4" width="11.7109375" style="306" customWidth="1"/>
    <col min="5" max="5" width="2.7109375" style="306" customWidth="1"/>
    <col min="6" max="8" width="11.7109375" style="306" customWidth="1"/>
    <col min="9" max="9" width="11.7109375" style="272" customWidth="1"/>
    <col min="10" max="10" width="11.7109375" style="274" customWidth="1"/>
    <col min="11" max="11" width="2.7109375" style="274" customWidth="1"/>
    <col min="12" max="15" width="11.7109375" style="274" customWidth="1"/>
    <col min="16" max="16" width="11.7109375" style="272" customWidth="1"/>
    <col min="17" max="17" width="2.7109375" style="272" customWidth="1"/>
    <col min="18" max="21" width="11.7109375" style="272" customWidth="1"/>
    <col min="22" max="22" width="2.7109375" style="272" customWidth="1"/>
    <col min="23" max="16384" width="9.140625" style="272"/>
  </cols>
  <sheetData>
    <row r="1" spans="1:24" ht="21" x14ac:dyDescent="0.2">
      <c r="A1" s="53" t="s">
        <v>126</v>
      </c>
      <c r="B1" s="54"/>
      <c r="C1" s="54"/>
      <c r="D1" s="301"/>
      <c r="E1" s="301"/>
      <c r="F1" s="301"/>
      <c r="G1" s="301"/>
      <c r="H1" s="301"/>
      <c r="I1" s="55"/>
      <c r="J1" s="55"/>
      <c r="K1" s="55"/>
      <c r="L1" s="56" t="s">
        <v>168</v>
      </c>
    </row>
    <row r="2" spans="1:24" s="295" customFormat="1" x14ac:dyDescent="0.2">
      <c r="B2" s="55"/>
      <c r="C2" s="55"/>
      <c r="D2" s="302"/>
      <c r="E2" s="302"/>
      <c r="F2" s="302"/>
      <c r="G2" s="302"/>
      <c r="H2" s="302"/>
      <c r="I2" s="55"/>
      <c r="J2" s="55"/>
      <c r="K2" s="55"/>
      <c r="L2" s="55"/>
      <c r="M2" s="54"/>
    </row>
    <row r="3" spans="1:24" s="14" customFormat="1" ht="21" x14ac:dyDescent="0.2">
      <c r="A3" s="56" t="s">
        <v>8</v>
      </c>
      <c r="B3" s="334"/>
      <c r="C3" s="403">
        <v>2020</v>
      </c>
      <c r="D3" s="404"/>
      <c r="E3" s="335"/>
      <c r="F3" s="403">
        <v>2019</v>
      </c>
      <c r="G3" s="405"/>
      <c r="H3" s="423"/>
      <c r="I3" s="423"/>
      <c r="J3" s="424"/>
      <c r="K3" s="335"/>
      <c r="L3" s="403">
        <v>2018</v>
      </c>
      <c r="M3" s="423"/>
      <c r="N3" s="423"/>
      <c r="O3" s="423"/>
      <c r="P3" s="424"/>
      <c r="Q3" s="334"/>
      <c r="R3" s="403">
        <v>2017</v>
      </c>
      <c r="S3" s="405"/>
      <c r="T3" s="405"/>
      <c r="U3" s="404"/>
      <c r="V3" s="335"/>
      <c r="W3" s="336" t="s">
        <v>98</v>
      </c>
    </row>
    <row r="4" spans="1:24" x14ac:dyDescent="0.2">
      <c r="A4" s="23"/>
      <c r="B4" s="23"/>
      <c r="C4" s="420" t="s">
        <v>261</v>
      </c>
      <c r="D4" s="401" t="s">
        <v>44</v>
      </c>
      <c r="E4" s="290"/>
      <c r="F4" s="420" t="s">
        <v>165</v>
      </c>
      <c r="G4" s="428" t="s">
        <v>163</v>
      </c>
      <c r="H4" s="428"/>
      <c r="I4" s="292" t="s">
        <v>118</v>
      </c>
      <c r="J4" s="292" t="s">
        <v>97</v>
      </c>
      <c r="K4" s="292"/>
      <c r="L4" s="420" t="s">
        <v>164</v>
      </c>
      <c r="M4" s="407" t="s">
        <v>163</v>
      </c>
      <c r="N4" s="407"/>
      <c r="O4" s="269" t="s">
        <v>118</v>
      </c>
      <c r="P4" s="269" t="s">
        <v>97</v>
      </c>
      <c r="Q4" s="23"/>
      <c r="R4" s="407" t="s">
        <v>163</v>
      </c>
      <c r="S4" s="408"/>
      <c r="T4" s="269" t="s">
        <v>118</v>
      </c>
      <c r="U4" s="269" t="s">
        <v>97</v>
      </c>
      <c r="V4" s="269"/>
      <c r="W4" s="14"/>
    </row>
    <row r="5" spans="1:24" x14ac:dyDescent="0.2">
      <c r="A5" s="23"/>
      <c r="B5" s="23"/>
      <c r="C5" s="426"/>
      <c r="D5" s="402"/>
      <c r="E5" s="291"/>
      <c r="F5" s="426"/>
      <c r="G5" s="26" t="s">
        <v>161</v>
      </c>
      <c r="H5" s="409" t="s">
        <v>162</v>
      </c>
      <c r="I5" s="408"/>
      <c r="J5" s="408"/>
      <c r="K5" s="293"/>
      <c r="L5" s="421"/>
      <c r="M5" s="26" t="s">
        <v>161</v>
      </c>
      <c r="N5" s="409" t="s">
        <v>162</v>
      </c>
      <c r="O5" s="408"/>
      <c r="P5" s="408"/>
      <c r="Q5" s="23"/>
      <c r="R5" s="26" t="s">
        <v>161</v>
      </c>
      <c r="S5" s="409" t="s">
        <v>162</v>
      </c>
      <c r="T5" s="408"/>
      <c r="U5" s="408"/>
      <c r="V5" s="269"/>
      <c r="W5" s="14"/>
    </row>
    <row r="6" spans="1:24" x14ac:dyDescent="0.2">
      <c r="A6" s="23"/>
      <c r="B6" s="23"/>
      <c r="C6" s="23"/>
      <c r="D6" s="317"/>
      <c r="E6" s="317"/>
      <c r="F6" s="266"/>
      <c r="G6" s="267"/>
      <c r="H6" s="317"/>
      <c r="J6" s="23"/>
      <c r="K6" s="23"/>
      <c r="L6" s="268"/>
      <c r="M6" s="26"/>
      <c r="N6" s="271"/>
      <c r="O6" s="270"/>
      <c r="P6" s="270"/>
      <c r="Q6" s="23"/>
      <c r="R6" s="26"/>
      <c r="S6" s="271"/>
      <c r="T6" s="270"/>
      <c r="U6" s="270"/>
      <c r="V6" s="269"/>
      <c r="W6" s="14"/>
    </row>
    <row r="7" spans="1:24" ht="15.75" x14ac:dyDescent="0.2">
      <c r="A7" s="9" t="s">
        <v>2</v>
      </c>
      <c r="B7" s="57"/>
      <c r="C7" s="61"/>
      <c r="D7" s="309"/>
      <c r="E7" s="309"/>
      <c r="F7" s="61"/>
      <c r="G7" s="62"/>
      <c r="H7" s="309"/>
      <c r="J7" s="63"/>
      <c r="K7" s="63"/>
      <c r="L7" s="61"/>
      <c r="M7" s="62"/>
      <c r="N7" s="63"/>
      <c r="O7" s="63"/>
      <c r="P7" s="63"/>
      <c r="Q7" s="63"/>
      <c r="R7" s="62"/>
      <c r="S7" s="63"/>
      <c r="T7" s="63"/>
      <c r="U7" s="63"/>
      <c r="V7" s="29"/>
      <c r="W7" s="29"/>
    </row>
    <row r="8" spans="1:24" ht="15.75" x14ac:dyDescent="0.2">
      <c r="A8" s="10" t="s">
        <v>80</v>
      </c>
      <c r="B8" s="58"/>
      <c r="C8" s="59">
        <f t="shared" ref="C8:C13" si="0">D8-G8</f>
        <v>2343.4000000000015</v>
      </c>
      <c r="D8" s="342">
        <v>34836</v>
      </c>
      <c r="E8" s="310"/>
      <c r="F8" s="59">
        <f t="shared" ref="F8:F13" si="1">G8-M8</f>
        <v>2242.5999999999985</v>
      </c>
      <c r="G8" s="64">
        <v>32492.6</v>
      </c>
      <c r="H8" s="60">
        <f t="shared" ref="H8:H13" si="2">G8/12*10</f>
        <v>27077.166666666668</v>
      </c>
      <c r="I8" s="341">
        <v>32254</v>
      </c>
      <c r="J8" s="60">
        <f t="shared" ref="J8:J13" si="3">H8-I8</f>
        <v>-5176.8333333333321</v>
      </c>
      <c r="K8" s="63"/>
      <c r="L8" s="61">
        <f t="shared" ref="L8:L13" si="4">M8-R8</f>
        <v>1666</v>
      </c>
      <c r="M8" s="275">
        <v>30250</v>
      </c>
      <c r="N8" s="60">
        <f t="shared" ref="N8:N13" si="5">M8/12*10</f>
        <v>25208.333333333336</v>
      </c>
      <c r="O8" s="274">
        <v>-1375</v>
      </c>
      <c r="P8" s="60">
        <f t="shared" ref="P8:P13" si="6">N8-O8</f>
        <v>26583.333333333336</v>
      </c>
      <c r="Q8" s="63"/>
      <c r="R8" s="275">
        <v>28584</v>
      </c>
      <c r="S8" s="60">
        <f>R8/12*10</f>
        <v>23820</v>
      </c>
      <c r="T8" s="274">
        <v>30250.18</v>
      </c>
      <c r="U8" s="63">
        <f>S8-T8</f>
        <v>-6430.18</v>
      </c>
      <c r="V8" s="30"/>
    </row>
    <row r="9" spans="1:24" ht="15.75" x14ac:dyDescent="0.2">
      <c r="A9" s="10" t="s">
        <v>9</v>
      </c>
      <c r="B9" s="58" t="s">
        <v>167</v>
      </c>
      <c r="C9" s="59">
        <f t="shared" si="0"/>
        <v>21.659999999999968</v>
      </c>
      <c r="D9" s="329">
        <v>555</v>
      </c>
      <c r="E9" s="308"/>
      <c r="F9" s="59">
        <f t="shared" si="1"/>
        <v>9.3400000000000318</v>
      </c>
      <c r="G9" s="85">
        <v>533.34</v>
      </c>
      <c r="H9" s="60">
        <f t="shared" si="2"/>
        <v>444.45</v>
      </c>
      <c r="I9" s="341">
        <v>533</v>
      </c>
      <c r="J9" s="60">
        <f t="shared" si="3"/>
        <v>-88.550000000000011</v>
      </c>
      <c r="K9" s="63"/>
      <c r="L9" s="61">
        <f t="shared" si="4"/>
        <v>48</v>
      </c>
      <c r="M9" s="275">
        <v>524</v>
      </c>
      <c r="N9" s="60">
        <f t="shared" si="5"/>
        <v>436.66666666666663</v>
      </c>
      <c r="O9" s="274">
        <v>0</v>
      </c>
      <c r="P9" s="60">
        <f t="shared" si="6"/>
        <v>436.66666666666663</v>
      </c>
      <c r="Q9" s="63"/>
      <c r="R9" s="275">
        <v>476</v>
      </c>
      <c r="S9" s="60">
        <f t="shared" ref="S9:S13" si="7">R9/12*10</f>
        <v>396.66666666666663</v>
      </c>
      <c r="T9" s="274">
        <v>523.82000000000005</v>
      </c>
      <c r="U9" s="63">
        <f t="shared" ref="U9:U13" si="8">S9-T9</f>
        <v>-127.15333333333342</v>
      </c>
      <c r="V9" s="30"/>
    </row>
    <row r="10" spans="1:24" ht="15.75" x14ac:dyDescent="0.2">
      <c r="A10" s="10" t="s">
        <v>68</v>
      </c>
      <c r="B10" s="58" t="s">
        <v>167</v>
      </c>
      <c r="C10" s="59">
        <f t="shared" si="0"/>
        <v>598.52</v>
      </c>
      <c r="D10" s="329">
        <v>1063</v>
      </c>
      <c r="E10" s="308"/>
      <c r="F10" s="59">
        <f t="shared" si="1"/>
        <v>8.4800000000000182</v>
      </c>
      <c r="G10" s="85">
        <v>464.48</v>
      </c>
      <c r="H10" s="60">
        <f t="shared" si="2"/>
        <v>387.06666666666672</v>
      </c>
      <c r="I10" s="341">
        <v>783</v>
      </c>
      <c r="J10" s="60">
        <f t="shared" si="3"/>
        <v>-395.93333333333328</v>
      </c>
      <c r="K10" s="63"/>
      <c r="L10" s="61">
        <f t="shared" si="4"/>
        <v>-57</v>
      </c>
      <c r="M10" s="275">
        <v>456</v>
      </c>
      <c r="N10" s="60">
        <f t="shared" si="5"/>
        <v>380</v>
      </c>
      <c r="O10" s="274">
        <v>0</v>
      </c>
      <c r="P10" s="60">
        <f t="shared" si="6"/>
        <v>380</v>
      </c>
      <c r="Q10" s="63"/>
      <c r="R10" s="275">
        <v>513</v>
      </c>
      <c r="S10" s="60">
        <f t="shared" si="7"/>
        <v>427.5</v>
      </c>
      <c r="T10" s="274">
        <v>456.18</v>
      </c>
      <c r="U10" s="63">
        <f t="shared" si="8"/>
        <v>-28.680000000000007</v>
      </c>
      <c r="V10" s="30"/>
    </row>
    <row r="11" spans="1:24" ht="15.75" x14ac:dyDescent="0.2">
      <c r="A11" s="10" t="s">
        <v>81</v>
      </c>
      <c r="B11" s="58"/>
      <c r="C11" s="59">
        <f t="shared" si="0"/>
        <v>0</v>
      </c>
      <c r="D11" s="342">
        <v>0</v>
      </c>
      <c r="E11" s="310"/>
      <c r="F11" s="59">
        <f t="shared" si="1"/>
        <v>0</v>
      </c>
      <c r="G11" s="64"/>
      <c r="H11" s="60">
        <f t="shared" si="2"/>
        <v>0</v>
      </c>
      <c r="I11" s="341">
        <v>0</v>
      </c>
      <c r="J11" s="60">
        <f t="shared" si="3"/>
        <v>0</v>
      </c>
      <c r="K11" s="63"/>
      <c r="L11" s="61">
        <f t="shared" si="4"/>
        <v>-2599</v>
      </c>
      <c r="M11" s="275">
        <v>0</v>
      </c>
      <c r="N11" s="60">
        <f t="shared" si="5"/>
        <v>0</v>
      </c>
      <c r="O11" s="274">
        <v>0</v>
      </c>
      <c r="P11" s="60">
        <f t="shared" si="6"/>
        <v>0</v>
      </c>
      <c r="Q11" s="63"/>
      <c r="R11" s="275">
        <v>2599</v>
      </c>
      <c r="S11" s="60">
        <f t="shared" si="7"/>
        <v>2165.8333333333335</v>
      </c>
      <c r="T11" s="274">
        <v>0</v>
      </c>
      <c r="U11" s="63">
        <f t="shared" si="8"/>
        <v>2165.8333333333335</v>
      </c>
      <c r="V11" s="30"/>
      <c r="W11" s="272" t="s">
        <v>128</v>
      </c>
    </row>
    <row r="12" spans="1:24" ht="15.75" x14ac:dyDescent="0.2">
      <c r="A12" s="10" t="s">
        <v>104</v>
      </c>
      <c r="B12" s="58"/>
      <c r="C12" s="59">
        <f t="shared" si="0"/>
        <v>0</v>
      </c>
      <c r="D12" s="342">
        <v>0</v>
      </c>
      <c r="E12" s="310"/>
      <c r="F12" s="59">
        <f t="shared" si="1"/>
        <v>0</v>
      </c>
      <c r="G12" s="64"/>
      <c r="H12" s="60">
        <f t="shared" si="2"/>
        <v>0</v>
      </c>
      <c r="I12" s="341">
        <v>0</v>
      </c>
      <c r="J12" s="60">
        <f t="shared" si="3"/>
        <v>0</v>
      </c>
      <c r="K12" s="63"/>
      <c r="L12" s="61">
        <f t="shared" si="4"/>
        <v>-5030</v>
      </c>
      <c r="M12" s="275">
        <v>0</v>
      </c>
      <c r="N12" s="60">
        <f t="shared" si="5"/>
        <v>0</v>
      </c>
      <c r="O12" s="274">
        <v>0</v>
      </c>
      <c r="P12" s="60">
        <f t="shared" si="6"/>
        <v>0</v>
      </c>
      <c r="Q12" s="63"/>
      <c r="R12" s="275">
        <v>5030</v>
      </c>
      <c r="S12" s="60">
        <f t="shared" si="7"/>
        <v>4191.666666666667</v>
      </c>
      <c r="T12" s="274">
        <v>3318</v>
      </c>
      <c r="U12" s="63">
        <f t="shared" si="8"/>
        <v>873.66666666666697</v>
      </c>
      <c r="V12" s="30"/>
      <c r="W12" s="272" t="s">
        <v>204</v>
      </c>
    </row>
    <row r="13" spans="1:24" ht="15.75" x14ac:dyDescent="0.2">
      <c r="A13" s="10" t="s">
        <v>123</v>
      </c>
      <c r="B13" s="58"/>
      <c r="C13" s="59">
        <f t="shared" si="0"/>
        <v>120.73000000000002</v>
      </c>
      <c r="D13" s="342">
        <v>3182</v>
      </c>
      <c r="E13" s="310"/>
      <c r="F13" s="59">
        <f t="shared" si="1"/>
        <v>3005.27</v>
      </c>
      <c r="G13" s="64">
        <f>3003.84+57.43</f>
        <v>3061.27</v>
      </c>
      <c r="H13" s="60">
        <f t="shared" si="2"/>
        <v>2551.0583333333334</v>
      </c>
      <c r="I13" s="341">
        <v>3094</v>
      </c>
      <c r="J13" s="60">
        <f t="shared" si="3"/>
        <v>-542.94166666666661</v>
      </c>
      <c r="K13" s="63"/>
      <c r="L13" s="61">
        <f t="shared" si="4"/>
        <v>56</v>
      </c>
      <c r="M13" s="275">
        <v>56</v>
      </c>
      <c r="N13" s="60">
        <f t="shared" si="5"/>
        <v>46.666666666666671</v>
      </c>
      <c r="O13" s="274">
        <v>0</v>
      </c>
      <c r="P13" s="60">
        <f t="shared" si="6"/>
        <v>46.666666666666671</v>
      </c>
      <c r="Q13" s="63"/>
      <c r="R13" s="275">
        <v>0</v>
      </c>
      <c r="S13" s="60">
        <f t="shared" si="7"/>
        <v>0</v>
      </c>
      <c r="T13" s="274">
        <v>56.41</v>
      </c>
      <c r="U13" s="63">
        <f t="shared" si="8"/>
        <v>-56.41</v>
      </c>
      <c r="V13" s="30"/>
      <c r="W13" s="19" t="s">
        <v>203</v>
      </c>
    </row>
    <row r="14" spans="1:24" ht="15.75" x14ac:dyDescent="0.2">
      <c r="A14" s="58"/>
      <c r="B14" s="58"/>
      <c r="C14" s="59"/>
      <c r="D14" s="310"/>
      <c r="E14" s="310"/>
      <c r="F14" s="59"/>
      <c r="G14" s="64"/>
      <c r="H14" s="60"/>
      <c r="I14" s="60"/>
      <c r="J14" s="60"/>
      <c r="K14" s="63"/>
      <c r="L14" s="61"/>
      <c r="M14" s="64"/>
      <c r="N14" s="60"/>
      <c r="O14" s="60"/>
      <c r="P14" s="60"/>
      <c r="Q14" s="63"/>
      <c r="R14" s="62"/>
      <c r="S14" s="63"/>
      <c r="T14" s="63"/>
      <c r="U14" s="63"/>
      <c r="V14" s="30"/>
      <c r="W14" s="29"/>
    </row>
    <row r="15" spans="1:24" ht="16.5" thickBot="1" x14ac:dyDescent="0.25">
      <c r="A15" s="181" t="s">
        <v>1</v>
      </c>
      <c r="B15" s="57"/>
      <c r="C15" s="65">
        <f>SUM(C7:C14)</f>
        <v>3084.3100000000013</v>
      </c>
      <c r="D15" s="66">
        <f>SUM(D8:D14)</f>
        <v>39636</v>
      </c>
      <c r="E15" s="71"/>
      <c r="F15" s="65">
        <f>SUM(F7:F14)</f>
        <v>5265.6899999999987</v>
      </c>
      <c r="G15" s="66">
        <f>SUM(G7:G14)</f>
        <v>36551.689999999995</v>
      </c>
      <c r="H15" s="68">
        <f>SUM(H7:H14)</f>
        <v>30459.741666666669</v>
      </c>
      <c r="I15" s="68">
        <f>SUM(I7:I14)</f>
        <v>36664</v>
      </c>
      <c r="J15" s="68">
        <f>SUM(J7:J14)</f>
        <v>-6204.2583333333323</v>
      </c>
      <c r="K15" s="67"/>
      <c r="L15" s="65">
        <f>SUM(L7:L14)</f>
        <v>-5916</v>
      </c>
      <c r="M15" s="66">
        <f>SUM(M7:M14)</f>
        <v>31286</v>
      </c>
      <c r="N15" s="68">
        <f>SUM(N7:N14)</f>
        <v>26071.666666666672</v>
      </c>
      <c r="O15" s="68">
        <f>SUM(O7:O14)</f>
        <v>-1375</v>
      </c>
      <c r="P15" s="68">
        <f>SUM(P7:P14)</f>
        <v>27446.666666666672</v>
      </c>
      <c r="Q15" s="67"/>
      <c r="R15" s="69">
        <f>SUM(R7:R14)</f>
        <v>37202</v>
      </c>
      <c r="S15" s="68">
        <f>SUM(S7:S14)</f>
        <v>31001.666666666668</v>
      </c>
      <c r="T15" s="68">
        <f>SUM(T7:T14)</f>
        <v>34604.590000000004</v>
      </c>
      <c r="U15" s="68">
        <f>SUM(U7:U14)</f>
        <v>-3602.9233333333332</v>
      </c>
      <c r="V15" s="31"/>
      <c r="W15" s="158">
        <f>SUM(B15:V15)</f>
        <v>322175.84000000008</v>
      </c>
      <c r="X15" s="159" t="s">
        <v>174</v>
      </c>
    </row>
    <row r="16" spans="1:24" x14ac:dyDescent="0.2">
      <c r="F16" s="272"/>
      <c r="G16" s="272"/>
    </row>
    <row r="17" spans="1:28" x14ac:dyDescent="0.2">
      <c r="A17" s="272" t="s">
        <v>166</v>
      </c>
      <c r="C17" s="100">
        <f>Summary!$C$25</f>
        <v>1.7000000000000001E-2</v>
      </c>
      <c r="F17" s="272"/>
      <c r="G17" s="272"/>
    </row>
    <row r="18" spans="1:28" x14ac:dyDescent="0.2">
      <c r="F18" s="272"/>
      <c r="G18" s="272"/>
    </row>
    <row r="19" spans="1:28" x14ac:dyDescent="0.2">
      <c r="A19" s="19"/>
      <c r="F19" s="272"/>
      <c r="G19" s="272"/>
    </row>
    <row r="20" spans="1:28" x14ac:dyDescent="0.2">
      <c r="F20" s="272"/>
      <c r="G20" s="272"/>
    </row>
    <row r="21" spans="1:28" x14ac:dyDescent="0.2">
      <c r="A21" s="222" t="s">
        <v>202</v>
      </c>
      <c r="B21" s="248"/>
      <c r="C21" s="248"/>
      <c r="D21" s="318"/>
      <c r="E21" s="318"/>
      <c r="F21" s="276">
        <v>2018</v>
      </c>
      <c r="G21" s="277"/>
      <c r="H21" s="318"/>
      <c r="J21" s="278"/>
      <c r="K21" s="278"/>
      <c r="L21" s="279">
        <v>2019</v>
      </c>
      <c r="N21" s="370" t="s">
        <v>335</v>
      </c>
      <c r="O21" s="370"/>
    </row>
    <row r="22" spans="1:28" x14ac:dyDescent="0.2">
      <c r="A22" s="221" t="s">
        <v>65</v>
      </c>
      <c r="B22" s="280"/>
      <c r="C22" s="280"/>
      <c r="D22" s="319"/>
      <c r="E22" s="319"/>
      <c r="F22" s="281">
        <v>816</v>
      </c>
      <c r="G22" s="282">
        <f>F22/F24</f>
        <v>0.76547842401500943</v>
      </c>
      <c r="H22" s="319"/>
      <c r="J22" s="283"/>
      <c r="K22" s="283"/>
      <c r="L22" s="284">
        <f>L24*G22</f>
        <v>750.26071294559108</v>
      </c>
      <c r="N22" s="370">
        <v>648</v>
      </c>
      <c r="O22" s="370"/>
      <c r="P22" s="218">
        <v>193</v>
      </c>
      <c r="R22" s="218" t="s">
        <v>351</v>
      </c>
      <c r="S22" s="218"/>
      <c r="T22" s="218"/>
      <c r="U22" s="218"/>
      <c r="V22" s="218"/>
      <c r="W22" s="218"/>
      <c r="X22" s="218"/>
      <c r="Y22" s="218"/>
      <c r="Z22" s="218"/>
      <c r="AA22" s="218"/>
      <c r="AB22" s="218"/>
    </row>
    <row r="23" spans="1:28" x14ac:dyDescent="0.2">
      <c r="A23" s="221" t="s">
        <v>61</v>
      </c>
      <c r="B23" s="280"/>
      <c r="C23" s="280"/>
      <c r="D23" s="319"/>
      <c r="E23" s="319"/>
      <c r="F23" s="281">
        <v>250</v>
      </c>
      <c r="G23" s="282">
        <f>F23/F24</f>
        <v>0.23452157598499063</v>
      </c>
      <c r="H23" s="319"/>
      <c r="J23" s="283"/>
      <c r="K23" s="283"/>
      <c r="L23" s="284">
        <f>L24*G23</f>
        <v>229.85928705440901</v>
      </c>
      <c r="N23" s="370">
        <v>193</v>
      </c>
      <c r="O23" s="370"/>
      <c r="P23" s="218">
        <v>648</v>
      </c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</row>
    <row r="24" spans="1:28" x14ac:dyDescent="0.2">
      <c r="A24" s="222" t="s">
        <v>201</v>
      </c>
      <c r="B24" s="248"/>
      <c r="C24" s="248"/>
      <c r="D24" s="318"/>
      <c r="E24" s="318"/>
      <c r="F24" s="276">
        <f>SUM(F22:F23)</f>
        <v>1066</v>
      </c>
      <c r="G24" s="285">
        <f>SUM(G22:G23)</f>
        <v>1</v>
      </c>
      <c r="H24" s="318"/>
      <c r="J24" s="278"/>
      <c r="K24" s="278"/>
      <c r="L24" s="279">
        <v>980.12</v>
      </c>
      <c r="M24" s="286">
        <f>SUM(L22:L23)</f>
        <v>980.12000000000012</v>
      </c>
      <c r="N24" s="370">
        <v>841</v>
      </c>
      <c r="O24" s="370"/>
      <c r="P24" s="218"/>
      <c r="R24" s="218"/>
      <c r="S24" s="218"/>
      <c r="T24" s="218"/>
      <c r="U24" s="218"/>
      <c r="V24" s="218"/>
      <c r="W24" s="218"/>
      <c r="X24" s="218"/>
      <c r="Y24" s="218"/>
      <c r="Z24" s="218"/>
      <c r="AA24" s="218"/>
      <c r="AB24" s="218"/>
    </row>
    <row r="25" spans="1:28" x14ac:dyDescent="0.2">
      <c r="F25" s="272"/>
      <c r="G25" s="272"/>
    </row>
    <row r="26" spans="1:28" x14ac:dyDescent="0.2">
      <c r="A26" s="14"/>
    </row>
    <row r="27" spans="1:28" ht="99.95" customHeight="1" x14ac:dyDescent="0.2">
      <c r="A27" s="427"/>
      <c r="B27" s="373"/>
      <c r="C27" s="373"/>
      <c r="D27" s="373"/>
      <c r="E27" s="373"/>
      <c r="F27" s="373"/>
      <c r="G27" s="373"/>
      <c r="H27" s="373"/>
      <c r="I27" s="373"/>
      <c r="J27" s="373"/>
      <c r="K27" s="373"/>
      <c r="L27" s="373"/>
      <c r="M27" s="416"/>
      <c r="N27" s="416"/>
    </row>
    <row r="28" spans="1:28" s="273" customFormat="1" x14ac:dyDescent="0.2">
      <c r="A28"/>
      <c r="B28"/>
      <c r="C28"/>
      <c r="D28"/>
      <c r="E28"/>
      <c r="F28"/>
      <c r="G28"/>
      <c r="H28"/>
      <c r="I28"/>
      <c r="J28"/>
      <c r="K28"/>
      <c r="L28"/>
      <c r="M28" s="371"/>
      <c r="N28" s="371"/>
      <c r="O28" s="287"/>
      <c r="P28" s="287"/>
    </row>
    <row r="29" spans="1:28" s="273" customFormat="1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 s="287"/>
      <c r="P29" s="287"/>
    </row>
    <row r="30" spans="1:28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P30" s="274"/>
    </row>
    <row r="31" spans="1:28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P31" s="274"/>
    </row>
    <row r="32" spans="1:28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P32" s="274"/>
    </row>
    <row r="33" spans="1:16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P33" s="274"/>
    </row>
    <row r="34" spans="1:16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P34" s="274"/>
    </row>
    <row r="35" spans="1:16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P35" s="274"/>
    </row>
    <row r="36" spans="1:16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P36" s="274"/>
    </row>
    <row r="37" spans="1:16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P37" s="274"/>
    </row>
    <row r="38" spans="1:16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P38" s="274"/>
    </row>
    <row r="39" spans="1:16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P39" s="274"/>
    </row>
    <row r="40" spans="1:16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P40" s="274"/>
    </row>
    <row r="41" spans="1:16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P41" s="274"/>
    </row>
    <row r="42" spans="1:16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P42" s="274"/>
    </row>
    <row r="43" spans="1:16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P43" s="274"/>
    </row>
    <row r="44" spans="1:16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P44" s="274"/>
    </row>
    <row r="45" spans="1:16" x14ac:dyDescent="0.2">
      <c r="L45" s="272"/>
      <c r="P45" s="274"/>
    </row>
    <row r="46" spans="1:16" x14ac:dyDescent="0.2">
      <c r="L46" s="272"/>
      <c r="P46" s="274"/>
    </row>
    <row r="47" spans="1:16" x14ac:dyDescent="0.2">
      <c r="L47" s="272"/>
      <c r="P47" s="274"/>
    </row>
    <row r="48" spans="1:16" x14ac:dyDescent="0.2">
      <c r="L48" s="272"/>
      <c r="P48" s="274"/>
    </row>
    <row r="49" spans="12:16" x14ac:dyDescent="0.2">
      <c r="L49" s="272"/>
      <c r="P49" s="274"/>
    </row>
    <row r="50" spans="12:16" x14ac:dyDescent="0.2">
      <c r="L50" s="272"/>
      <c r="P50" s="274"/>
    </row>
    <row r="51" spans="12:16" x14ac:dyDescent="0.2">
      <c r="L51" s="272"/>
      <c r="P51" s="274"/>
    </row>
    <row r="52" spans="12:16" x14ac:dyDescent="0.2">
      <c r="L52" s="272"/>
      <c r="P52" s="274"/>
    </row>
    <row r="53" spans="12:16" x14ac:dyDescent="0.2">
      <c r="L53" s="272"/>
      <c r="P53" s="274"/>
    </row>
    <row r="54" spans="12:16" x14ac:dyDescent="0.2">
      <c r="L54" s="272"/>
      <c r="P54" s="274"/>
    </row>
    <row r="55" spans="12:16" x14ac:dyDescent="0.2">
      <c r="L55" s="272"/>
      <c r="P55" s="274"/>
    </row>
    <row r="56" spans="12:16" x14ac:dyDescent="0.2">
      <c r="L56" s="272"/>
      <c r="P56" s="274"/>
    </row>
    <row r="57" spans="12:16" x14ac:dyDescent="0.2">
      <c r="L57" s="272"/>
      <c r="P57" s="274"/>
    </row>
    <row r="58" spans="12:16" x14ac:dyDescent="0.2">
      <c r="L58" s="272"/>
      <c r="P58" s="274"/>
    </row>
    <row r="59" spans="12:16" x14ac:dyDescent="0.2">
      <c r="L59" s="272"/>
      <c r="P59" s="274"/>
    </row>
    <row r="60" spans="12:16" x14ac:dyDescent="0.2">
      <c r="L60" s="272"/>
      <c r="P60" s="274"/>
    </row>
    <row r="61" spans="12:16" x14ac:dyDescent="0.2">
      <c r="L61" s="272"/>
      <c r="P61" s="274"/>
    </row>
    <row r="62" spans="12:16" x14ac:dyDescent="0.2">
      <c r="L62" s="272"/>
      <c r="P62" s="274"/>
    </row>
    <row r="63" spans="12:16" x14ac:dyDescent="0.2">
      <c r="L63" s="272"/>
      <c r="P63" s="274"/>
    </row>
    <row r="64" spans="12:16" x14ac:dyDescent="0.2">
      <c r="L64" s="272"/>
      <c r="P64" s="274"/>
    </row>
    <row r="65" spans="10:16" x14ac:dyDescent="0.2">
      <c r="L65" s="272"/>
      <c r="P65" s="274"/>
    </row>
    <row r="66" spans="10:16" x14ac:dyDescent="0.2">
      <c r="J66" s="272"/>
      <c r="K66" s="295"/>
      <c r="P66" s="274"/>
    </row>
    <row r="67" spans="10:16" x14ac:dyDescent="0.2">
      <c r="J67" s="272"/>
      <c r="K67" s="295"/>
      <c r="P67" s="274"/>
    </row>
    <row r="68" spans="10:16" x14ac:dyDescent="0.2">
      <c r="J68" s="272"/>
      <c r="K68" s="295"/>
      <c r="P68" s="274"/>
    </row>
    <row r="69" spans="10:16" x14ac:dyDescent="0.2">
      <c r="J69" s="272"/>
      <c r="K69" s="295"/>
      <c r="P69" s="274"/>
    </row>
    <row r="70" spans="10:16" x14ac:dyDescent="0.2">
      <c r="J70" s="272"/>
      <c r="K70" s="295"/>
      <c r="P70" s="274"/>
    </row>
  </sheetData>
  <mergeCells count="15">
    <mergeCell ref="F3:J3"/>
    <mergeCell ref="L3:P3"/>
    <mergeCell ref="A27:N27"/>
    <mergeCell ref="R3:U3"/>
    <mergeCell ref="F4:F5"/>
    <mergeCell ref="L4:L5"/>
    <mergeCell ref="M4:N4"/>
    <mergeCell ref="R4:S4"/>
    <mergeCell ref="N5:P5"/>
    <mergeCell ref="S5:U5"/>
    <mergeCell ref="C3:D3"/>
    <mergeCell ref="C4:C5"/>
    <mergeCell ref="D4:D5"/>
    <mergeCell ref="G4:H4"/>
    <mergeCell ref="H5:J5"/>
  </mergeCells>
  <phoneticPr fontId="20" type="noConversion"/>
  <pageMargins left="0.70866141732283472" right="0.70866141732283472" top="0.74803149606299213" bottom="0.74803149606299213" header="0.31496062992125984" footer="0.31496062992125984"/>
  <pageSetup scale="63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E55"/>
  <sheetViews>
    <sheetView showGridLines="0" zoomScale="80" zoomScaleNormal="80" workbookViewId="0">
      <pane ySplit="5" topLeftCell="A51" activePane="bottomLeft" state="frozen"/>
      <selection pane="bottomLeft" activeCell="A62" sqref="A62"/>
    </sheetView>
  </sheetViews>
  <sheetFormatPr defaultColWidth="9.140625" defaultRowHeight="15" x14ac:dyDescent="0.2"/>
  <cols>
    <col min="1" max="1" width="40.7109375" style="5" customWidth="1"/>
    <col min="2" max="2" width="2.7109375" style="5" customWidth="1"/>
    <col min="3" max="3" width="11.7109375" style="295" customWidth="1"/>
    <col min="4" max="4" width="11.7109375" style="306" customWidth="1"/>
    <col min="5" max="5" width="2.7109375" style="306" customWidth="1"/>
    <col min="6" max="8" width="11.7109375" style="306" customWidth="1"/>
    <col min="9" max="10" width="11.7109375" style="5" customWidth="1"/>
    <col min="11" max="11" width="2.7109375" style="295" customWidth="1"/>
    <col min="12" max="16" width="11.7109375" style="5" customWidth="1"/>
    <col min="17" max="17" width="2.7109375" style="5" customWidth="1"/>
    <col min="18" max="21" width="11.7109375" style="5" customWidth="1"/>
    <col min="22" max="22" width="2.7109375" style="5" customWidth="1"/>
    <col min="23" max="23" width="14.140625" style="5" customWidth="1"/>
    <col min="24" max="27" width="10.7109375" style="5" customWidth="1"/>
    <col min="28" max="16384" width="9.140625" style="5"/>
  </cols>
  <sheetData>
    <row r="1" spans="1:31" ht="21" x14ac:dyDescent="0.2">
      <c r="A1" s="27" t="s">
        <v>126</v>
      </c>
      <c r="B1" s="3"/>
      <c r="C1" s="3"/>
      <c r="D1" s="314"/>
      <c r="E1" s="314"/>
      <c r="F1" s="314"/>
      <c r="G1" s="314"/>
      <c r="H1" s="314"/>
      <c r="I1" s="4"/>
      <c r="J1" s="4"/>
      <c r="K1" s="4"/>
      <c r="L1" s="4"/>
      <c r="M1" s="22" t="s">
        <v>242</v>
      </c>
      <c r="O1" s="195">
        <v>4</v>
      </c>
      <c r="W1" s="29"/>
      <c r="X1" s="29"/>
    </row>
    <row r="2" spans="1:31" s="295" customFormat="1" x14ac:dyDescent="0.2">
      <c r="B2" s="4"/>
      <c r="C2" s="4"/>
      <c r="D2" s="316"/>
      <c r="E2" s="316"/>
      <c r="F2" s="316"/>
      <c r="G2" s="316"/>
      <c r="H2" s="316"/>
      <c r="I2" s="4"/>
      <c r="J2" s="4"/>
      <c r="K2" s="4"/>
      <c r="L2" s="4"/>
      <c r="M2" s="3"/>
    </row>
    <row r="3" spans="1:31" s="23" customFormat="1" ht="21" x14ac:dyDescent="0.2">
      <c r="A3" s="22" t="s">
        <v>243</v>
      </c>
      <c r="C3" s="429">
        <v>2020</v>
      </c>
      <c r="D3" s="430"/>
      <c r="E3" s="292"/>
      <c r="F3" s="429">
        <v>2019</v>
      </c>
      <c r="G3" s="433"/>
      <c r="H3" s="423"/>
      <c r="I3" s="423"/>
      <c r="J3" s="424"/>
      <c r="K3" s="292"/>
      <c r="L3" s="429">
        <v>2018</v>
      </c>
      <c r="M3" s="423"/>
      <c r="N3" s="423"/>
      <c r="O3" s="423"/>
      <c r="P3" s="424"/>
      <c r="R3" s="429">
        <v>2017</v>
      </c>
      <c r="S3" s="433"/>
      <c r="T3" s="433"/>
      <c r="U3" s="430"/>
      <c r="V3" s="292"/>
      <c r="W3" s="25" t="s">
        <v>98</v>
      </c>
      <c r="X3" s="14"/>
      <c r="Y3" s="14"/>
      <c r="Z3" s="14"/>
      <c r="AA3" s="14"/>
      <c r="AB3" s="14"/>
      <c r="AC3" s="14"/>
      <c r="AD3" s="14"/>
      <c r="AE3" s="14"/>
    </row>
    <row r="4" spans="1:31" s="23" customFormat="1" ht="15" customHeight="1" x14ac:dyDescent="0.2">
      <c r="C4" s="420" t="s">
        <v>261</v>
      </c>
      <c r="D4" s="401" t="s">
        <v>44</v>
      </c>
      <c r="E4" s="290"/>
      <c r="F4" s="420" t="s">
        <v>165</v>
      </c>
      <c r="G4" s="419" t="s">
        <v>163</v>
      </c>
      <c r="H4" s="419"/>
      <c r="I4" s="292" t="s">
        <v>118</v>
      </c>
      <c r="J4" s="292" t="s">
        <v>97</v>
      </c>
      <c r="K4" s="292"/>
      <c r="L4" s="420" t="s">
        <v>164</v>
      </c>
      <c r="M4" s="409" t="s">
        <v>163</v>
      </c>
      <c r="N4" s="409"/>
      <c r="O4" s="24" t="s">
        <v>118</v>
      </c>
      <c r="P4" s="24" t="s">
        <v>97</v>
      </c>
      <c r="R4" s="409" t="s">
        <v>163</v>
      </c>
      <c r="S4" s="422"/>
      <c r="T4" s="24" t="s">
        <v>118</v>
      </c>
      <c r="U4" s="24" t="s">
        <v>97</v>
      </c>
      <c r="V4" s="24"/>
      <c r="W4" s="25"/>
      <c r="X4" s="14"/>
      <c r="Y4" s="14"/>
      <c r="Z4" s="14"/>
      <c r="AA4" s="14"/>
      <c r="AB4" s="14"/>
      <c r="AC4" s="14"/>
      <c r="AD4" s="14"/>
      <c r="AE4" s="14"/>
    </row>
    <row r="5" spans="1:31" s="23" customFormat="1" ht="21" customHeight="1" x14ac:dyDescent="0.2">
      <c r="C5" s="431"/>
      <c r="D5" s="402"/>
      <c r="E5" s="291"/>
      <c r="F5" s="431"/>
      <c r="G5" s="26" t="s">
        <v>161</v>
      </c>
      <c r="H5" s="409" t="s">
        <v>162</v>
      </c>
      <c r="I5" s="408"/>
      <c r="J5" s="408"/>
      <c r="K5" s="293"/>
      <c r="L5" s="421"/>
      <c r="M5" s="26" t="s">
        <v>161</v>
      </c>
      <c r="N5" s="409" t="s">
        <v>162</v>
      </c>
      <c r="O5" s="408"/>
      <c r="P5" s="408"/>
      <c r="R5" s="26" t="s">
        <v>161</v>
      </c>
      <c r="S5" s="409" t="s">
        <v>162</v>
      </c>
      <c r="T5" s="408"/>
      <c r="U5" s="408"/>
      <c r="V5" s="24"/>
      <c r="W5" s="25"/>
      <c r="X5" s="14"/>
      <c r="Y5" s="14"/>
      <c r="Z5" s="14"/>
      <c r="AA5" s="14"/>
      <c r="AB5" s="14"/>
      <c r="AC5" s="14"/>
      <c r="AD5" s="14"/>
      <c r="AE5" s="14"/>
    </row>
    <row r="6" spans="1:31" s="23" customFormat="1" ht="21" customHeight="1" x14ac:dyDescent="0.2">
      <c r="C6" s="348"/>
      <c r="D6" s="291"/>
      <c r="E6" s="291"/>
      <c r="F6" s="348"/>
      <c r="G6" s="26"/>
      <c r="H6" s="294"/>
      <c r="I6" s="293"/>
      <c r="J6" s="293"/>
      <c r="K6" s="293"/>
      <c r="L6" s="349"/>
      <c r="M6" s="26"/>
      <c r="N6" s="294"/>
      <c r="O6" s="293"/>
      <c r="P6" s="293"/>
      <c r="R6" s="26"/>
      <c r="S6" s="294"/>
      <c r="T6" s="293"/>
      <c r="U6" s="293"/>
      <c r="V6" s="292"/>
      <c r="W6" s="25"/>
      <c r="X6" s="14"/>
      <c r="Y6" s="14"/>
      <c r="Z6" s="14"/>
      <c r="AA6" s="14"/>
      <c r="AB6" s="14"/>
      <c r="AC6" s="14"/>
      <c r="AD6" s="14"/>
      <c r="AE6" s="14"/>
    </row>
    <row r="7" spans="1:31" x14ac:dyDescent="0.2">
      <c r="A7" s="6" t="s">
        <v>20</v>
      </c>
      <c r="B7" s="6"/>
      <c r="C7" s="6"/>
      <c r="D7" s="304"/>
      <c r="E7" s="304"/>
      <c r="F7" s="79"/>
      <c r="G7" s="80"/>
      <c r="H7" s="304"/>
      <c r="J7" s="81"/>
      <c r="K7" s="81"/>
      <c r="L7" s="79"/>
      <c r="M7" s="80"/>
      <c r="N7" s="81"/>
      <c r="O7" s="81"/>
      <c r="P7" s="81"/>
      <c r="Q7" s="81"/>
      <c r="R7" s="80"/>
      <c r="S7" s="81"/>
      <c r="T7" s="81"/>
      <c r="U7" s="81"/>
    </row>
    <row r="8" spans="1:31" x14ac:dyDescent="0.2">
      <c r="A8" s="7" t="s">
        <v>21</v>
      </c>
      <c r="B8" s="7"/>
      <c r="C8" s="84">
        <f>D8-G8</f>
        <v>99</v>
      </c>
      <c r="D8" s="331">
        <v>576</v>
      </c>
      <c r="E8" s="305"/>
      <c r="F8" s="84">
        <f>G8-M8</f>
        <v>27</v>
      </c>
      <c r="G8" s="85">
        <v>477</v>
      </c>
      <c r="H8" s="86">
        <f>G8/12*10</f>
        <v>397.5</v>
      </c>
      <c r="I8" s="343">
        <v>466</v>
      </c>
      <c r="J8" s="86">
        <f>H8-I8</f>
        <v>-68.5</v>
      </c>
      <c r="K8" s="81"/>
      <c r="L8" s="79">
        <f>M8-R8</f>
        <v>72</v>
      </c>
      <c r="M8" s="85">
        <v>450</v>
      </c>
      <c r="N8" s="86">
        <f>M8/12*10</f>
        <v>375</v>
      </c>
      <c r="O8" s="86">
        <v>336</v>
      </c>
      <c r="P8" s="86">
        <f>N8-O8</f>
        <v>39</v>
      </c>
      <c r="Q8" s="81"/>
      <c r="R8" s="80">
        <v>378</v>
      </c>
      <c r="S8" s="86">
        <f>R8/12*10</f>
        <v>315</v>
      </c>
      <c r="T8" s="81">
        <v>369.45</v>
      </c>
      <c r="U8" s="81">
        <f>S8-T8</f>
        <v>-54.449999999999989</v>
      </c>
      <c r="V8" s="13"/>
    </row>
    <row r="9" spans="1:31" x14ac:dyDescent="0.2">
      <c r="A9" s="7" t="s">
        <v>14</v>
      </c>
      <c r="B9" s="7" t="s">
        <v>167</v>
      </c>
      <c r="C9" s="84">
        <f>D9-G9</f>
        <v>-1.5300000000000011</v>
      </c>
      <c r="D9" s="329">
        <v>90</v>
      </c>
      <c r="E9" s="308"/>
      <c r="F9" s="84">
        <f>G9-M9</f>
        <v>1.5300000000000011</v>
      </c>
      <c r="G9" s="85">
        <f>M9+(M9*$C$30)</f>
        <v>91.53</v>
      </c>
      <c r="H9" s="86">
        <f>G9/12*10</f>
        <v>76.275000000000006</v>
      </c>
      <c r="I9" s="343">
        <v>75</v>
      </c>
      <c r="J9" s="86">
        <f>H9-I9</f>
        <v>1.2750000000000057</v>
      </c>
      <c r="K9" s="81"/>
      <c r="L9" s="79">
        <f t="shared" ref="L9:L10" si="0">M9-R9</f>
        <v>0</v>
      </c>
      <c r="M9" s="85">
        <v>90</v>
      </c>
      <c r="N9" s="86">
        <f>M9/12*10</f>
        <v>75</v>
      </c>
      <c r="O9" s="86">
        <v>75</v>
      </c>
      <c r="P9" s="86">
        <f>N9-O9</f>
        <v>0</v>
      </c>
      <c r="Q9" s="81"/>
      <c r="R9" s="80">
        <v>90</v>
      </c>
      <c r="S9" s="86">
        <f>R9/12*10</f>
        <v>75</v>
      </c>
      <c r="T9" s="81">
        <v>75</v>
      </c>
      <c r="U9" s="81">
        <f>S9-T9</f>
        <v>0</v>
      </c>
      <c r="V9" s="13"/>
      <c r="X9" s="19"/>
    </row>
    <row r="10" spans="1:31" ht="17.25" x14ac:dyDescent="0.2">
      <c r="A10" s="7" t="s">
        <v>213</v>
      </c>
      <c r="B10" s="7" t="s">
        <v>167</v>
      </c>
      <c r="C10" s="84">
        <f>D10-G10</f>
        <v>-89.4</v>
      </c>
      <c r="D10" s="329">
        <v>114</v>
      </c>
      <c r="E10" s="308"/>
      <c r="F10" s="84">
        <f>G10-M10</f>
        <v>3.4000000000000057</v>
      </c>
      <c r="G10" s="85">
        <f>M10+(M10*$C$30)</f>
        <v>203.4</v>
      </c>
      <c r="H10" s="86">
        <f>G10/12*10</f>
        <v>169.5</v>
      </c>
      <c r="I10" s="343">
        <v>256</v>
      </c>
      <c r="J10" s="86">
        <f>H10-I10</f>
        <v>-86.5</v>
      </c>
      <c r="K10" s="81"/>
      <c r="L10" s="79">
        <f t="shared" si="0"/>
        <v>50</v>
      </c>
      <c r="M10" s="85">
        <v>200</v>
      </c>
      <c r="N10" s="86">
        <f>M10/12*10</f>
        <v>166.66666666666669</v>
      </c>
      <c r="O10" s="86">
        <v>2256.42</v>
      </c>
      <c r="P10" s="86">
        <f>N10-O10</f>
        <v>-2089.7533333333336</v>
      </c>
      <c r="Q10" s="81"/>
      <c r="R10" s="80">
        <v>150</v>
      </c>
      <c r="S10" s="86">
        <f>R10/12*10</f>
        <v>125</v>
      </c>
      <c r="T10" s="81">
        <v>174.42</v>
      </c>
      <c r="U10" s="81">
        <f>S10-T10</f>
        <v>-49.419999999999987</v>
      </c>
      <c r="V10" s="13"/>
      <c r="W10" s="8"/>
    </row>
    <row r="11" spans="1:31" x14ac:dyDescent="0.2">
      <c r="A11" s="7" t="s">
        <v>155</v>
      </c>
      <c r="B11" s="7"/>
      <c r="C11" s="84">
        <f>D11-G11</f>
        <v>0</v>
      </c>
      <c r="D11" s="331">
        <v>252</v>
      </c>
      <c r="E11" s="305"/>
      <c r="F11" s="84">
        <f>G11-M11</f>
        <v>252</v>
      </c>
      <c r="G11" s="85">
        <f>210*1.2</f>
        <v>252</v>
      </c>
      <c r="H11" s="86"/>
      <c r="I11" s="343">
        <v>252</v>
      </c>
      <c r="J11" s="86">
        <f>H11-I11</f>
        <v>-252</v>
      </c>
      <c r="K11" s="81"/>
      <c r="L11" s="79"/>
      <c r="M11" s="85"/>
      <c r="N11" s="86"/>
      <c r="O11" s="86"/>
      <c r="P11" s="86">
        <f>N11-O11</f>
        <v>0</v>
      </c>
      <c r="Q11" s="81"/>
      <c r="R11" s="80"/>
      <c r="S11" s="81"/>
      <c r="T11" s="81"/>
      <c r="U11" s="81"/>
      <c r="V11" s="13"/>
      <c r="X11" s="19"/>
    </row>
    <row r="12" spans="1:31" x14ac:dyDescent="0.2">
      <c r="A12" s="7"/>
      <c r="B12" s="7"/>
      <c r="C12" s="84"/>
      <c r="D12" s="305"/>
      <c r="E12" s="305"/>
      <c r="F12" s="84"/>
      <c r="G12" s="85"/>
      <c r="H12" s="86"/>
      <c r="I12" s="86"/>
      <c r="J12" s="86"/>
      <c r="K12" s="81"/>
      <c r="L12" s="79"/>
      <c r="M12" s="85"/>
      <c r="N12" s="86"/>
      <c r="O12" s="86"/>
      <c r="P12" s="86"/>
      <c r="Q12" s="81"/>
      <c r="R12" s="80"/>
      <c r="S12" s="81"/>
      <c r="T12" s="81"/>
      <c r="U12" s="81"/>
      <c r="V12" s="13"/>
      <c r="X12" s="20"/>
    </row>
    <row r="13" spans="1:31" s="14" customFormat="1" ht="15.75" thickBot="1" x14ac:dyDescent="0.3">
      <c r="A13" s="138" t="s">
        <v>170</v>
      </c>
      <c r="B13" s="6"/>
      <c r="C13" s="88">
        <f>SUM(C7:C12)</f>
        <v>8.0699999999999932</v>
      </c>
      <c r="D13" s="89">
        <f>SUM(D7:D12)</f>
        <v>1032</v>
      </c>
      <c r="E13" s="103"/>
      <c r="F13" s="88">
        <f>SUM(F7:F12)</f>
        <v>283.93</v>
      </c>
      <c r="G13" s="89">
        <f>SUM(G7:G12)</f>
        <v>1023.93</v>
      </c>
      <c r="H13" s="91">
        <f t="shared" ref="H13:J13" si="1">SUM(H7:H12)</f>
        <v>643.27499999999998</v>
      </c>
      <c r="I13" s="91">
        <f t="shared" si="1"/>
        <v>1049</v>
      </c>
      <c r="J13" s="91">
        <f t="shared" si="1"/>
        <v>-405.72500000000002</v>
      </c>
      <c r="K13" s="90"/>
      <c r="L13" s="88">
        <f t="shared" ref="L13:P13" si="2">SUM(L7:L12)</f>
        <v>122</v>
      </c>
      <c r="M13" s="89">
        <f t="shared" si="2"/>
        <v>740</v>
      </c>
      <c r="N13" s="91">
        <f t="shared" si="2"/>
        <v>616.66666666666674</v>
      </c>
      <c r="O13" s="91">
        <f t="shared" si="2"/>
        <v>2667.42</v>
      </c>
      <c r="P13" s="91">
        <f t="shared" si="2"/>
        <v>-2050.7533333333336</v>
      </c>
      <c r="Q13" s="90"/>
      <c r="R13" s="101">
        <f t="shared" ref="R13:U13" si="3">SUM(R7:R12)</f>
        <v>618</v>
      </c>
      <c r="S13" s="91">
        <f t="shared" si="3"/>
        <v>515</v>
      </c>
      <c r="T13" s="91">
        <f t="shared" si="3"/>
        <v>618.87</v>
      </c>
      <c r="U13" s="91">
        <f t="shared" si="3"/>
        <v>-103.86999999999998</v>
      </c>
      <c r="V13" s="15"/>
      <c r="W13" s="5"/>
    </row>
    <row r="14" spans="1:31" s="14" customFormat="1" x14ac:dyDescent="0.2">
      <c r="A14" s="6"/>
      <c r="B14" s="6"/>
      <c r="C14" s="102"/>
      <c r="D14" s="304"/>
      <c r="E14" s="304"/>
      <c r="F14" s="102"/>
      <c r="G14" s="103"/>
      <c r="H14" s="105"/>
      <c r="I14" s="105"/>
      <c r="J14" s="105"/>
      <c r="K14" s="90"/>
      <c r="L14" s="104"/>
      <c r="M14" s="103"/>
      <c r="N14" s="105"/>
      <c r="O14" s="105"/>
      <c r="P14" s="105"/>
      <c r="Q14" s="90"/>
      <c r="R14" s="80"/>
      <c r="S14" s="81"/>
      <c r="T14" s="90"/>
      <c r="U14" s="90"/>
      <c r="V14" s="15"/>
      <c r="W14" s="5"/>
    </row>
    <row r="15" spans="1:31" x14ac:dyDescent="0.2">
      <c r="A15" s="9" t="s">
        <v>23</v>
      </c>
      <c r="B15" s="9"/>
      <c r="C15" s="84"/>
      <c r="D15" s="304"/>
      <c r="E15" s="304"/>
      <c r="F15" s="84"/>
      <c r="G15" s="85"/>
      <c r="H15" s="86"/>
      <c r="I15" s="86"/>
      <c r="J15" s="86"/>
      <c r="K15" s="81"/>
      <c r="L15" s="79"/>
      <c r="M15" s="85"/>
      <c r="N15" s="86"/>
      <c r="O15" s="86"/>
      <c r="P15" s="86"/>
      <c r="Q15" s="81"/>
      <c r="R15" s="80"/>
      <c r="S15" s="81"/>
      <c r="T15" s="81"/>
      <c r="U15" s="81"/>
      <c r="V15" s="13"/>
    </row>
    <row r="16" spans="1:31" x14ac:dyDescent="0.2">
      <c r="A16" s="7" t="s">
        <v>22</v>
      </c>
      <c r="B16" s="7" t="s">
        <v>167</v>
      </c>
      <c r="C16" s="84">
        <f t="shared" ref="C16:C20" si="4">D16-G16</f>
        <v>-3.4000000000000057</v>
      </c>
      <c r="D16" s="329">
        <v>200</v>
      </c>
      <c r="E16" s="308"/>
      <c r="F16" s="84">
        <f t="shared" ref="F16:F20" si="5">G16-M16</f>
        <v>3.4000000000000057</v>
      </c>
      <c r="G16" s="85">
        <f>M16+(M16*$C$30)</f>
        <v>203.4</v>
      </c>
      <c r="H16" s="86">
        <f t="shared" ref="H16:H20" si="6">G16/12*10</f>
        <v>169.5</v>
      </c>
      <c r="I16" s="343">
        <v>126</v>
      </c>
      <c r="J16" s="86">
        <f t="shared" ref="J16:J20" si="7">H16-I16</f>
        <v>43.5</v>
      </c>
      <c r="K16" s="81"/>
      <c r="L16" s="79">
        <f t="shared" ref="L16:L20" si="8">M16-R16</f>
        <v>0</v>
      </c>
      <c r="M16" s="85">
        <v>200</v>
      </c>
      <c r="N16" s="86">
        <f t="shared" ref="N16:N20" si="9">M16/12*10</f>
        <v>166.66666666666669</v>
      </c>
      <c r="O16" s="86">
        <v>458.84</v>
      </c>
      <c r="P16" s="86">
        <f t="shared" ref="P16:P20" si="10">N16-O16</f>
        <v>-292.17333333333329</v>
      </c>
      <c r="Q16" s="81"/>
      <c r="R16" s="80">
        <v>200</v>
      </c>
      <c r="S16" s="86">
        <f t="shared" ref="S16:S20" si="11">R16/12*10</f>
        <v>166.66666666666669</v>
      </c>
      <c r="T16" s="81">
        <v>195</v>
      </c>
      <c r="U16" s="81">
        <f t="shared" ref="U16:U20" si="12">S16-T16</f>
        <v>-28.333333333333314</v>
      </c>
      <c r="V16" s="13"/>
    </row>
    <row r="17" spans="1:24" x14ac:dyDescent="0.2">
      <c r="A17" s="7" t="s">
        <v>16</v>
      </c>
      <c r="B17" s="7" t="s">
        <v>167</v>
      </c>
      <c r="C17" s="84">
        <f t="shared" si="4"/>
        <v>-0.85000000000000142</v>
      </c>
      <c r="D17" s="329">
        <v>50</v>
      </c>
      <c r="E17" s="308"/>
      <c r="F17" s="84">
        <f t="shared" si="5"/>
        <v>0.85000000000000142</v>
      </c>
      <c r="G17" s="85">
        <f>M17+(M17*$C$30)</f>
        <v>50.85</v>
      </c>
      <c r="H17" s="86">
        <f t="shared" si="6"/>
        <v>42.375</v>
      </c>
      <c r="I17" s="343">
        <v>0</v>
      </c>
      <c r="J17" s="86">
        <f t="shared" si="7"/>
        <v>42.375</v>
      </c>
      <c r="K17" s="81"/>
      <c r="L17" s="79">
        <f t="shared" si="8"/>
        <v>0</v>
      </c>
      <c r="M17" s="85">
        <v>50</v>
      </c>
      <c r="N17" s="86">
        <f t="shared" si="9"/>
        <v>41.666666666666671</v>
      </c>
      <c r="O17" s="86"/>
      <c r="P17" s="86">
        <f t="shared" si="10"/>
        <v>41.666666666666671</v>
      </c>
      <c r="Q17" s="81"/>
      <c r="R17" s="80">
        <v>50</v>
      </c>
      <c r="S17" s="86">
        <f t="shared" si="11"/>
        <v>41.666666666666671</v>
      </c>
      <c r="T17" s="81">
        <v>37.94</v>
      </c>
      <c r="U17" s="81">
        <f t="shared" si="12"/>
        <v>3.7266666666666737</v>
      </c>
      <c r="V17" s="13"/>
    </row>
    <row r="18" spans="1:24" x14ac:dyDescent="0.2">
      <c r="A18" s="7" t="s">
        <v>12</v>
      </c>
      <c r="B18" s="7" t="s">
        <v>167</v>
      </c>
      <c r="C18" s="84">
        <f t="shared" si="4"/>
        <v>-0.85000000000000142</v>
      </c>
      <c r="D18" s="329">
        <v>50</v>
      </c>
      <c r="E18" s="308"/>
      <c r="F18" s="84">
        <f t="shared" si="5"/>
        <v>0.85000000000000142</v>
      </c>
      <c r="G18" s="85">
        <f>M18+(M18*$C$30)</f>
        <v>50.85</v>
      </c>
      <c r="H18" s="86">
        <f t="shared" si="6"/>
        <v>42.375</v>
      </c>
      <c r="I18" s="343">
        <v>76</v>
      </c>
      <c r="J18" s="86">
        <f t="shared" si="7"/>
        <v>-33.625</v>
      </c>
      <c r="K18" s="81"/>
      <c r="L18" s="79">
        <f t="shared" si="8"/>
        <v>-3</v>
      </c>
      <c r="M18" s="85">
        <v>50</v>
      </c>
      <c r="N18" s="86">
        <f t="shared" si="9"/>
        <v>41.666666666666671</v>
      </c>
      <c r="O18" s="86">
        <v>45</v>
      </c>
      <c r="P18" s="86">
        <f t="shared" si="10"/>
        <v>-3.3333333333333286</v>
      </c>
      <c r="Q18" s="81"/>
      <c r="R18" s="80">
        <v>53</v>
      </c>
      <c r="S18" s="86">
        <f t="shared" si="11"/>
        <v>44.166666666666671</v>
      </c>
      <c r="T18" s="81">
        <v>45</v>
      </c>
      <c r="U18" s="81">
        <f t="shared" si="12"/>
        <v>-0.8333333333333286</v>
      </c>
      <c r="V18" s="13"/>
    </row>
    <row r="19" spans="1:24" x14ac:dyDescent="0.2">
      <c r="A19" s="7" t="s">
        <v>50</v>
      </c>
      <c r="B19" s="7" t="s">
        <v>167</v>
      </c>
      <c r="C19" s="84">
        <f t="shared" si="4"/>
        <v>0.14999999999999858</v>
      </c>
      <c r="D19" s="329">
        <v>51</v>
      </c>
      <c r="E19" s="308"/>
      <c r="F19" s="84">
        <f t="shared" si="5"/>
        <v>0.85000000000000142</v>
      </c>
      <c r="G19" s="85">
        <f>M19+(M19*$C$30)</f>
        <v>50.85</v>
      </c>
      <c r="H19" s="86">
        <f t="shared" si="6"/>
        <v>42.375</v>
      </c>
      <c r="I19" s="343">
        <v>116</v>
      </c>
      <c r="J19" s="86">
        <f t="shared" si="7"/>
        <v>-73.625</v>
      </c>
      <c r="K19" s="81"/>
      <c r="L19" s="79">
        <f t="shared" si="8"/>
        <v>0</v>
      </c>
      <c r="M19" s="85">
        <v>50</v>
      </c>
      <c r="N19" s="86">
        <f t="shared" si="9"/>
        <v>41.666666666666671</v>
      </c>
      <c r="O19" s="86">
        <v>30</v>
      </c>
      <c r="P19" s="86">
        <f t="shared" si="10"/>
        <v>11.666666666666671</v>
      </c>
      <c r="Q19" s="81"/>
      <c r="R19" s="80">
        <v>50</v>
      </c>
      <c r="S19" s="86">
        <f t="shared" si="11"/>
        <v>41.666666666666671</v>
      </c>
      <c r="T19" s="81">
        <v>20</v>
      </c>
      <c r="U19" s="81">
        <f t="shared" si="12"/>
        <v>21.666666666666671</v>
      </c>
      <c r="V19" s="13"/>
    </row>
    <row r="20" spans="1:24" x14ac:dyDescent="0.2">
      <c r="A20" s="7" t="s">
        <v>152</v>
      </c>
      <c r="B20" s="7"/>
      <c r="C20" s="84">
        <f t="shared" si="4"/>
        <v>-118.03174603174604</v>
      </c>
      <c r="D20" s="331">
        <v>0</v>
      </c>
      <c r="E20" s="305"/>
      <c r="F20" s="84">
        <f t="shared" si="5"/>
        <v>118.03174603174604</v>
      </c>
      <c r="G20" s="85">
        <f>Reserves!X7</f>
        <v>118.03174603174604</v>
      </c>
      <c r="H20" s="86">
        <f t="shared" si="6"/>
        <v>98.359788359788368</v>
      </c>
      <c r="I20" s="343">
        <v>190</v>
      </c>
      <c r="J20" s="86">
        <f t="shared" si="7"/>
        <v>-91.640211640211632</v>
      </c>
      <c r="K20" s="81"/>
      <c r="L20" s="79">
        <f t="shared" si="8"/>
        <v>0</v>
      </c>
      <c r="M20" s="85">
        <v>0</v>
      </c>
      <c r="N20" s="86">
        <f t="shared" si="9"/>
        <v>0</v>
      </c>
      <c r="O20" s="86">
        <v>0</v>
      </c>
      <c r="P20" s="86">
        <f t="shared" si="10"/>
        <v>0</v>
      </c>
      <c r="Q20" s="81"/>
      <c r="R20" s="80">
        <v>0</v>
      </c>
      <c r="S20" s="81">
        <f t="shared" si="11"/>
        <v>0</v>
      </c>
      <c r="T20" s="81">
        <v>0</v>
      </c>
      <c r="U20" s="81">
        <f t="shared" si="12"/>
        <v>0</v>
      </c>
      <c r="V20" s="13"/>
      <c r="W20" s="19"/>
    </row>
    <row r="21" spans="1:24" x14ac:dyDescent="0.2">
      <c r="A21" s="7"/>
      <c r="B21" s="7"/>
      <c r="C21" s="84"/>
      <c r="D21" s="305"/>
      <c r="E21" s="305"/>
      <c r="F21" s="84"/>
      <c r="G21" s="85"/>
      <c r="H21" s="86"/>
      <c r="I21" s="86"/>
      <c r="J21" s="86"/>
      <c r="K21" s="81"/>
      <c r="L21" s="79"/>
      <c r="M21" s="85"/>
      <c r="N21" s="86"/>
      <c r="O21" s="86"/>
      <c r="P21" s="86"/>
      <c r="Q21" s="81"/>
      <c r="R21" s="80"/>
      <c r="S21" s="81"/>
      <c r="T21" s="81"/>
      <c r="U21" s="81"/>
      <c r="V21" s="13"/>
    </row>
    <row r="22" spans="1:24" s="14" customFormat="1" ht="15.75" thickBot="1" x14ac:dyDescent="0.3">
      <c r="A22" s="138" t="s">
        <v>171</v>
      </c>
      <c r="B22" s="9"/>
      <c r="C22" s="88">
        <f>SUM(C15:C21)</f>
        <v>-122.98174603174604</v>
      </c>
      <c r="D22" s="89">
        <f>SUM(D15:D21)</f>
        <v>351</v>
      </c>
      <c r="E22" s="103"/>
      <c r="F22" s="88">
        <f>SUM(F15:F21)</f>
        <v>123.98174603174604</v>
      </c>
      <c r="G22" s="89">
        <f>SUM(G15:G21)</f>
        <v>473.98174603174607</v>
      </c>
      <c r="H22" s="91">
        <f>SUM(H15:H21)</f>
        <v>394.98478835978835</v>
      </c>
      <c r="I22" s="91">
        <f>SUM(I15:I21)</f>
        <v>508</v>
      </c>
      <c r="J22" s="91">
        <f>SUM(J15:J21)</f>
        <v>-113.01521164021163</v>
      </c>
      <c r="K22" s="90"/>
      <c r="L22" s="88">
        <f>SUM(L15:L21)</f>
        <v>-3</v>
      </c>
      <c r="M22" s="89">
        <f>SUM(M15:M21)</f>
        <v>350</v>
      </c>
      <c r="N22" s="91">
        <f>SUM(N15:N21)</f>
        <v>291.66666666666674</v>
      </c>
      <c r="O22" s="91">
        <f>SUM(O15:O21)</f>
        <v>533.83999999999992</v>
      </c>
      <c r="P22" s="91">
        <f>SUM(P15:P21)</f>
        <v>-242.17333333333323</v>
      </c>
      <c r="Q22" s="90"/>
      <c r="R22" s="89">
        <f>SUM(R15:R21)</f>
        <v>353</v>
      </c>
      <c r="S22" s="91">
        <f>SUM(S15:S21)</f>
        <v>294.16666666666674</v>
      </c>
      <c r="T22" s="91">
        <f>SUM(T15:T21)</f>
        <v>297.94</v>
      </c>
      <c r="U22" s="91">
        <f>SUM(U15:U21)</f>
        <v>-3.7733333333332979</v>
      </c>
      <c r="V22" s="15"/>
    </row>
    <row r="23" spans="1:24" s="14" customFormat="1" x14ac:dyDescent="0.2">
      <c r="A23" s="9"/>
      <c r="B23" s="9"/>
      <c r="C23" s="102"/>
      <c r="D23" s="103"/>
      <c r="E23" s="103"/>
      <c r="F23" s="102"/>
      <c r="G23" s="103"/>
      <c r="H23" s="105"/>
      <c r="I23" s="105"/>
      <c r="J23" s="105"/>
      <c r="K23" s="90"/>
      <c r="L23" s="102"/>
      <c r="M23" s="103"/>
      <c r="N23" s="105"/>
      <c r="O23" s="105"/>
      <c r="P23" s="105"/>
      <c r="Q23" s="90"/>
      <c r="R23" s="106"/>
      <c r="S23" s="81"/>
      <c r="T23" s="90"/>
      <c r="U23" s="90"/>
      <c r="V23" s="15"/>
    </row>
    <row r="24" spans="1:24" s="14" customFormat="1" ht="15.75" thickBot="1" x14ac:dyDescent="0.3">
      <c r="A24" s="138" t="s">
        <v>169</v>
      </c>
      <c r="B24" s="9"/>
      <c r="C24" s="88">
        <f>SUM(C13+C22)</f>
        <v>-114.91174603174605</v>
      </c>
      <c r="D24" s="89">
        <f>SUM(D13+D22)</f>
        <v>1383</v>
      </c>
      <c r="E24" s="103"/>
      <c r="F24" s="88">
        <f>SUM(F13+F22)</f>
        <v>407.91174603174602</v>
      </c>
      <c r="G24" s="89">
        <f>SUM(G13+G22)</f>
        <v>1497.9117460317461</v>
      </c>
      <c r="H24" s="91">
        <f>SUM(H13+H22)</f>
        <v>1038.2597883597882</v>
      </c>
      <c r="I24" s="91">
        <f>SUM(I13+I22)</f>
        <v>1557</v>
      </c>
      <c r="J24" s="91">
        <f>SUM(J13+J22)</f>
        <v>-518.74021164021167</v>
      </c>
      <c r="K24" s="90"/>
      <c r="L24" s="88">
        <f>SUM(L13+L22)</f>
        <v>119</v>
      </c>
      <c r="M24" s="89">
        <f>SUM(M13+M22)</f>
        <v>1090</v>
      </c>
      <c r="N24" s="91">
        <f>SUM(N13+N22)</f>
        <v>908.33333333333348</v>
      </c>
      <c r="O24" s="91">
        <f>SUM(O13+O22)</f>
        <v>3201.26</v>
      </c>
      <c r="P24" s="91">
        <f>SUM(P13+P22)</f>
        <v>-2292.9266666666667</v>
      </c>
      <c r="Q24" s="90"/>
      <c r="R24" s="89">
        <f>SUM(R13+R22)</f>
        <v>971</v>
      </c>
      <c r="S24" s="91">
        <f>SUM(S13+S22)</f>
        <v>809.16666666666674</v>
      </c>
      <c r="T24" s="91">
        <f>SUM(T13+T22)</f>
        <v>916.81</v>
      </c>
      <c r="U24" s="91">
        <f>SUM(U13+U22)</f>
        <v>-107.64333333333327</v>
      </c>
      <c r="V24" s="15"/>
    </row>
    <row r="25" spans="1:24" s="14" customFormat="1" x14ac:dyDescent="0.2">
      <c r="A25" s="9"/>
      <c r="B25" s="9"/>
      <c r="C25" s="107"/>
      <c r="D25" s="304"/>
      <c r="E25" s="304"/>
      <c r="F25" s="107"/>
      <c r="G25" s="103"/>
      <c r="H25" s="108"/>
      <c r="I25" s="108"/>
      <c r="J25" s="108"/>
      <c r="K25" s="90"/>
      <c r="L25" s="102"/>
      <c r="M25" s="103"/>
      <c r="N25" s="108"/>
      <c r="O25" s="108"/>
      <c r="P25" s="108"/>
      <c r="Q25" s="90"/>
      <c r="R25" s="106"/>
      <c r="S25" s="90"/>
      <c r="T25" s="90"/>
      <c r="U25" s="90"/>
      <c r="V25" s="15"/>
      <c r="W25" s="5"/>
    </row>
    <row r="26" spans="1:24" x14ac:dyDescent="0.2">
      <c r="A26" s="10" t="s">
        <v>100</v>
      </c>
      <c r="B26" s="10"/>
      <c r="C26" s="84">
        <f>D26-G26</f>
        <v>330</v>
      </c>
      <c r="D26" s="363">
        <f>Reserves!F7</f>
        <v>510</v>
      </c>
      <c r="E26" s="305"/>
      <c r="F26" s="84">
        <f>G26-M26</f>
        <v>-420</v>
      </c>
      <c r="G26" s="85">
        <v>180</v>
      </c>
      <c r="H26" s="86">
        <f>G26/12*10</f>
        <v>150</v>
      </c>
      <c r="I26" s="343"/>
      <c r="J26" s="86">
        <f>H26-I26</f>
        <v>150</v>
      </c>
      <c r="K26" s="81"/>
      <c r="L26" s="79">
        <f t="shared" ref="L26" si="13">M26-R26</f>
        <v>0</v>
      </c>
      <c r="M26" s="85">
        <v>600</v>
      </c>
      <c r="N26" s="86">
        <f>M26/12*10</f>
        <v>500</v>
      </c>
      <c r="O26" s="86">
        <v>0</v>
      </c>
      <c r="P26" s="86">
        <f>N26-O26</f>
        <v>500</v>
      </c>
      <c r="Q26" s="81"/>
      <c r="R26" s="80">
        <v>600</v>
      </c>
      <c r="S26" s="86">
        <f>R26/12*10</f>
        <v>500</v>
      </c>
      <c r="T26" s="81">
        <v>900</v>
      </c>
      <c r="U26" s="81">
        <f>S26-T26</f>
        <v>-400</v>
      </c>
      <c r="V26" s="16"/>
      <c r="W26" s="11"/>
    </row>
    <row r="27" spans="1:24" x14ac:dyDescent="0.2">
      <c r="A27" s="10"/>
      <c r="B27" s="10"/>
      <c r="C27" s="84"/>
      <c r="D27" s="305"/>
      <c r="E27" s="305"/>
      <c r="F27" s="84"/>
      <c r="G27" s="85"/>
      <c r="H27" s="86"/>
      <c r="I27" s="86"/>
      <c r="J27" s="86"/>
      <c r="K27" s="81"/>
      <c r="L27" s="84"/>
      <c r="M27" s="85"/>
      <c r="N27" s="86"/>
      <c r="O27" s="86"/>
      <c r="P27" s="86"/>
      <c r="Q27" s="81"/>
      <c r="R27" s="80"/>
      <c r="S27" s="81"/>
      <c r="T27" s="81"/>
      <c r="U27" s="81"/>
      <c r="V27" s="16"/>
    </row>
    <row r="28" spans="1:24" ht="15.75" thickBot="1" x14ac:dyDescent="0.3">
      <c r="A28" s="138" t="s">
        <v>1</v>
      </c>
      <c r="B28" s="9"/>
      <c r="C28" s="88">
        <f>SUM(C24:C26)</f>
        <v>215.08825396825395</v>
      </c>
      <c r="D28" s="89">
        <f>SUM(D24:D26)</f>
        <v>1893</v>
      </c>
      <c r="E28" s="103"/>
      <c r="F28" s="88">
        <f>SUM(F24:F26)</f>
        <v>-12.08825396825398</v>
      </c>
      <c r="G28" s="89">
        <f>SUM(G24:G26)</f>
        <v>1677.9117460317461</v>
      </c>
      <c r="H28" s="109">
        <f>SUM(H24:H26)</f>
        <v>1188.2597883597882</v>
      </c>
      <c r="I28" s="109">
        <f>SUM(I24:I26)</f>
        <v>1557</v>
      </c>
      <c r="J28" s="109">
        <f>SUM(J24:J26)</f>
        <v>-368.74021164021167</v>
      </c>
      <c r="K28" s="81"/>
      <c r="L28" s="88">
        <f>SUM(L24:L26)</f>
        <v>119</v>
      </c>
      <c r="M28" s="89">
        <f>SUM(M24:M26)</f>
        <v>1690</v>
      </c>
      <c r="N28" s="109">
        <f>SUM(N24:N26)</f>
        <v>1408.3333333333335</v>
      </c>
      <c r="O28" s="109">
        <f>SUM(O24:O26)</f>
        <v>3201.26</v>
      </c>
      <c r="P28" s="109">
        <f>SUM(P24:P26)</f>
        <v>-1792.9266666666667</v>
      </c>
      <c r="Q28" s="81"/>
      <c r="R28" s="89">
        <f>SUM(R24:R26)</f>
        <v>1571</v>
      </c>
      <c r="S28" s="109">
        <f>SUM(S24:S26)</f>
        <v>1309.1666666666667</v>
      </c>
      <c r="T28" s="109">
        <f>SUM(T24:T26)</f>
        <v>1816.81</v>
      </c>
      <c r="U28" s="109">
        <f>SUM(U24:U26)</f>
        <v>-507.64333333333326</v>
      </c>
      <c r="V28" s="17"/>
      <c r="W28" s="158">
        <f>SUM(B28:V28)</f>
        <v>14965.431322751323</v>
      </c>
      <c r="X28" s="159" t="s">
        <v>174</v>
      </c>
    </row>
    <row r="29" spans="1:24" x14ac:dyDescent="0.2">
      <c r="F29" s="13"/>
      <c r="G29" s="13"/>
      <c r="J29" s="13"/>
      <c r="K29" s="13"/>
      <c r="L29" s="13"/>
      <c r="N29" s="13"/>
      <c r="P29" s="13"/>
      <c r="Q29" s="13"/>
      <c r="R29" s="13"/>
      <c r="S29" s="13"/>
      <c r="T29" s="13"/>
      <c r="U29" s="13"/>
      <c r="V29" s="13"/>
    </row>
    <row r="30" spans="1:24" x14ac:dyDescent="0.2">
      <c r="A30" s="5" t="s">
        <v>166</v>
      </c>
      <c r="C30" s="100">
        <f>Summary!$C$25</f>
        <v>1.7000000000000001E-2</v>
      </c>
      <c r="F30" s="5"/>
      <c r="G30" s="5"/>
    </row>
    <row r="32" spans="1:24" x14ac:dyDescent="0.2">
      <c r="A32" s="14" t="s">
        <v>98</v>
      </c>
    </row>
    <row r="33" spans="1:11" s="185" customFormat="1" ht="30" customHeight="1" x14ac:dyDescent="0.2">
      <c r="A33" s="432" t="s">
        <v>214</v>
      </c>
      <c r="B33" s="373"/>
      <c r="C33" s="373"/>
      <c r="D33" s="373"/>
      <c r="E33" s="373"/>
      <c r="F33" s="373"/>
      <c r="G33" s="373"/>
      <c r="H33" s="373"/>
      <c r="I33" s="373"/>
      <c r="K33" s="295"/>
    </row>
    <row r="34" spans="1:11" x14ac:dyDescent="0.2">
      <c r="A34" s="185" t="s">
        <v>206</v>
      </c>
    </row>
    <row r="35" spans="1:11" x14ac:dyDescent="0.2">
      <c r="A35" s="185" t="s">
        <v>207</v>
      </c>
    </row>
    <row r="36" spans="1:11" x14ac:dyDescent="0.2">
      <c r="A36" s="185" t="s">
        <v>208</v>
      </c>
    </row>
    <row r="37" spans="1:11" x14ac:dyDescent="0.2">
      <c r="A37" s="185" t="s">
        <v>209</v>
      </c>
    </row>
    <row r="38" spans="1:11" ht="45" customHeight="1" x14ac:dyDescent="0.2">
      <c r="A38" s="427" t="s">
        <v>205</v>
      </c>
      <c r="B38" s="373"/>
      <c r="C38" s="373"/>
      <c r="D38" s="373"/>
      <c r="E38" s="373"/>
      <c r="F38" s="373"/>
      <c r="G38" s="373"/>
      <c r="H38" s="373"/>
      <c r="I38" s="373"/>
    </row>
    <row r="40" spans="1:11" ht="18.75" x14ac:dyDescent="0.25">
      <c r="A40" s="351" t="s">
        <v>267</v>
      </c>
      <c r="B40" s="352"/>
      <c r="C40" s="353" t="s">
        <v>236</v>
      </c>
      <c r="D40" s="354" t="s">
        <v>237</v>
      </c>
      <c r="F40" s="356" t="s">
        <v>268</v>
      </c>
    </row>
    <row r="41" spans="1:11" x14ac:dyDescent="0.2">
      <c r="A41" s="236" t="s">
        <v>297</v>
      </c>
      <c r="B41" s="237"/>
      <c r="C41" s="239">
        <v>6864</v>
      </c>
      <c r="D41" s="239"/>
      <c r="F41" s="306" t="s">
        <v>308</v>
      </c>
    </row>
    <row r="42" spans="1:11" x14ac:dyDescent="0.2">
      <c r="A42" s="192"/>
      <c r="B42" s="237"/>
      <c r="C42" s="239"/>
      <c r="D42" s="239"/>
    </row>
    <row r="43" spans="1:11" x14ac:dyDescent="0.2">
      <c r="A43" s="192"/>
      <c r="B43" s="237"/>
      <c r="C43" s="238"/>
      <c r="D43" s="239"/>
    </row>
    <row r="44" spans="1:11" x14ac:dyDescent="0.2">
      <c r="A44" s="192"/>
      <c r="B44" s="237"/>
      <c r="C44" s="238"/>
      <c r="D44" s="239"/>
    </row>
    <row r="45" spans="1:11" x14ac:dyDescent="0.25">
      <c r="A45" s="194"/>
      <c r="B45" s="193"/>
      <c r="C45" s="191"/>
      <c r="D45" s="191"/>
    </row>
    <row r="46" spans="1:11" x14ac:dyDescent="0.25">
      <c r="A46" s="194"/>
      <c r="B46" s="193"/>
      <c r="C46" s="191"/>
      <c r="D46" s="191"/>
    </row>
    <row r="47" spans="1:11" x14ac:dyDescent="0.25">
      <c r="A47" s="194"/>
      <c r="B47" s="193"/>
      <c r="C47" s="191"/>
      <c r="D47" s="191"/>
    </row>
    <row r="48" spans="1:11" x14ac:dyDescent="0.25">
      <c r="A48" s="194"/>
      <c r="B48" s="193"/>
      <c r="C48" s="191"/>
      <c r="D48" s="191"/>
    </row>
    <row r="49" spans="1:6" x14ac:dyDescent="0.25">
      <c r="A49" s="194"/>
      <c r="B49" s="193"/>
      <c r="C49" s="191"/>
      <c r="D49" s="191"/>
    </row>
    <row r="50" spans="1:6" x14ac:dyDescent="0.2">
      <c r="A50" s="221"/>
      <c r="B50" s="237"/>
      <c r="C50" s="238"/>
      <c r="D50" s="238"/>
    </row>
    <row r="51" spans="1:6" x14ac:dyDescent="0.2">
      <c r="A51" s="240" t="s">
        <v>201</v>
      </c>
      <c r="B51" s="241"/>
      <c r="C51" s="242">
        <f>SUM(C41:C50)</f>
        <v>6864</v>
      </c>
      <c r="D51" s="242">
        <f>SUM(D41:D50)</f>
        <v>0</v>
      </c>
    </row>
    <row r="52" spans="1:6" x14ac:dyDescent="0.2">
      <c r="A52" s="295"/>
      <c r="B52" s="226"/>
      <c r="C52" s="226"/>
      <c r="D52" s="303"/>
    </row>
    <row r="53" spans="1:6" ht="30" customHeight="1" x14ac:dyDescent="0.2">
      <c r="A53" s="414"/>
      <c r="B53" s="415"/>
      <c r="C53" s="415"/>
      <c r="D53" s="415"/>
      <c r="E53" s="416"/>
      <c r="F53" s="416"/>
    </row>
    <row r="54" spans="1:6" ht="30" customHeight="1" x14ac:dyDescent="0.2">
      <c r="A54" s="414"/>
      <c r="B54" s="415"/>
      <c r="C54" s="415"/>
      <c r="D54" s="415"/>
      <c r="E54" s="416"/>
      <c r="F54" s="416"/>
    </row>
    <row r="55" spans="1:6" ht="30" customHeight="1" x14ac:dyDescent="0.2">
      <c r="A55" s="414"/>
      <c r="B55" s="415"/>
      <c r="C55" s="415"/>
      <c r="D55" s="415"/>
      <c r="E55" s="416"/>
      <c r="F55" s="416"/>
    </row>
  </sheetData>
  <mergeCells count="19">
    <mergeCell ref="R3:U3"/>
    <mergeCell ref="F4:F5"/>
    <mergeCell ref="N5:P5"/>
    <mergeCell ref="M4:N4"/>
    <mergeCell ref="L3:P3"/>
    <mergeCell ref="G4:H4"/>
    <mergeCell ref="H5:J5"/>
    <mergeCell ref="F3:J3"/>
    <mergeCell ref="A53:F53"/>
    <mergeCell ref="A54:F54"/>
    <mergeCell ref="A55:F55"/>
    <mergeCell ref="R4:S4"/>
    <mergeCell ref="S5:U5"/>
    <mergeCell ref="L4:L5"/>
    <mergeCell ref="C3:D3"/>
    <mergeCell ref="C4:C5"/>
    <mergeCell ref="D4:D5"/>
    <mergeCell ref="A38:I38"/>
    <mergeCell ref="A33:I33"/>
  </mergeCells>
  <phoneticPr fontId="19" type="noConversion"/>
  <pageMargins left="0.74803149606299213" right="0.74803149606299213" top="0.98425196850393704" bottom="0.98425196850393704" header="0.51181102362204722" footer="0.51181102362204722"/>
  <pageSetup paperSize="9" scale="74" orientation="landscape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X33"/>
  <sheetViews>
    <sheetView showGridLines="0" zoomScale="80" zoomScaleNormal="80" workbookViewId="0">
      <pane ySplit="5" topLeftCell="A24" activePane="bottomLeft" state="frozen"/>
      <selection pane="bottomLeft" activeCell="A31" sqref="A31:F33"/>
    </sheetView>
  </sheetViews>
  <sheetFormatPr defaultColWidth="9.140625" defaultRowHeight="15" x14ac:dyDescent="0.25"/>
  <cols>
    <col min="1" max="1" width="40.7109375" style="32" customWidth="1"/>
    <col min="2" max="2" width="2.7109375" style="32" customWidth="1"/>
    <col min="3" max="3" width="11.7109375" style="32" customWidth="1"/>
    <col min="4" max="4" width="11.7109375" style="34" customWidth="1"/>
    <col min="5" max="5" width="2.7109375" style="34" customWidth="1"/>
    <col min="6" max="8" width="11.7109375" style="34" customWidth="1"/>
    <col min="9" max="10" width="11.7109375" style="32" customWidth="1"/>
    <col min="11" max="11" width="2.7109375" style="32" customWidth="1"/>
    <col min="12" max="16" width="11.7109375" style="32" customWidth="1"/>
    <col min="17" max="17" width="2.7109375" style="32" customWidth="1"/>
    <col min="18" max="21" width="11.7109375" style="32" customWidth="1"/>
    <col min="22" max="22" width="2.7109375" style="32" customWidth="1"/>
    <col min="23" max="16384" width="9.140625" style="32"/>
  </cols>
  <sheetData>
    <row r="1" spans="1:24" s="47" customFormat="1" ht="21" x14ac:dyDescent="0.35">
      <c r="A1" s="27" t="s">
        <v>126</v>
      </c>
      <c r="D1" s="315"/>
      <c r="E1" s="315"/>
      <c r="F1" s="315"/>
      <c r="G1" s="315"/>
      <c r="H1" s="315"/>
      <c r="M1" s="257" t="s">
        <v>242</v>
      </c>
      <c r="O1" s="195">
        <v>9</v>
      </c>
    </row>
    <row r="3" spans="1:24" s="340" customFormat="1" ht="21" x14ac:dyDescent="0.35">
      <c r="A3" s="46" t="s">
        <v>244</v>
      </c>
      <c r="B3" s="334"/>
      <c r="C3" s="403">
        <v>2020</v>
      </c>
      <c r="D3" s="404"/>
      <c r="E3" s="335"/>
      <c r="F3" s="403">
        <v>2019</v>
      </c>
      <c r="G3" s="405"/>
      <c r="H3" s="423"/>
      <c r="I3" s="423"/>
      <c r="J3" s="424"/>
      <c r="K3" s="335"/>
      <c r="L3" s="403">
        <v>2018</v>
      </c>
      <c r="M3" s="423"/>
      <c r="N3" s="423"/>
      <c r="O3" s="423"/>
      <c r="P3" s="424"/>
      <c r="Q3" s="334"/>
      <c r="R3" s="403">
        <v>2017</v>
      </c>
      <c r="S3" s="405"/>
      <c r="T3" s="405"/>
      <c r="U3" s="404"/>
      <c r="V3" s="335"/>
      <c r="W3" s="337" t="s">
        <v>98</v>
      </c>
    </row>
    <row r="4" spans="1:24" x14ac:dyDescent="0.25">
      <c r="A4" s="23"/>
      <c r="B4" s="23"/>
      <c r="C4" s="420" t="s">
        <v>261</v>
      </c>
      <c r="D4" s="401" t="s">
        <v>44</v>
      </c>
      <c r="E4" s="290"/>
      <c r="F4" s="420" t="s">
        <v>165</v>
      </c>
      <c r="G4" s="419" t="s">
        <v>163</v>
      </c>
      <c r="H4" s="419"/>
      <c r="I4" s="292" t="s">
        <v>118</v>
      </c>
      <c r="J4" s="292" t="s">
        <v>97</v>
      </c>
      <c r="K4" s="292"/>
      <c r="L4" s="420" t="s">
        <v>164</v>
      </c>
      <c r="M4" s="409" t="s">
        <v>163</v>
      </c>
      <c r="N4" s="409"/>
      <c r="O4" s="24" t="s">
        <v>118</v>
      </c>
      <c r="P4" s="24" t="s">
        <v>97</v>
      </c>
      <c r="Q4" s="23"/>
      <c r="R4" s="409" t="s">
        <v>163</v>
      </c>
      <c r="S4" s="422"/>
      <c r="T4" s="24" t="s">
        <v>118</v>
      </c>
      <c r="U4" s="24" t="s">
        <v>97</v>
      </c>
      <c r="V4" s="24"/>
      <c r="W4" s="25"/>
    </row>
    <row r="5" spans="1:24" x14ac:dyDescent="0.25">
      <c r="A5" s="23"/>
      <c r="B5" s="23"/>
      <c r="C5" s="431"/>
      <c r="D5" s="402"/>
      <c r="E5" s="291"/>
      <c r="F5" s="431"/>
      <c r="G5" s="26" t="s">
        <v>161</v>
      </c>
      <c r="H5" s="409" t="s">
        <v>162</v>
      </c>
      <c r="I5" s="408"/>
      <c r="J5" s="408"/>
      <c r="K5" s="293"/>
      <c r="L5" s="421"/>
      <c r="M5" s="26" t="s">
        <v>161</v>
      </c>
      <c r="N5" s="409" t="s">
        <v>162</v>
      </c>
      <c r="O5" s="408"/>
      <c r="P5" s="408"/>
      <c r="Q5" s="23"/>
      <c r="R5" s="26" t="s">
        <v>161</v>
      </c>
      <c r="S5" s="409" t="s">
        <v>162</v>
      </c>
      <c r="T5" s="408"/>
      <c r="U5" s="408"/>
      <c r="V5" s="24"/>
      <c r="W5" s="25"/>
    </row>
    <row r="6" spans="1:24" x14ac:dyDescent="0.25">
      <c r="F6" s="110"/>
      <c r="G6" s="111"/>
      <c r="J6" s="112"/>
      <c r="K6" s="112"/>
      <c r="L6" s="110"/>
      <c r="M6" s="111"/>
      <c r="N6" s="112"/>
      <c r="O6" s="112"/>
      <c r="P6" s="112"/>
      <c r="Q6" s="112"/>
      <c r="R6" s="111"/>
      <c r="S6" s="112"/>
      <c r="T6" s="112"/>
      <c r="U6" s="112"/>
    </row>
    <row r="7" spans="1:24" x14ac:dyDescent="0.25">
      <c r="A7" s="35" t="s">
        <v>90</v>
      </c>
      <c r="C7" s="84">
        <f>D7-G7</f>
        <v>0</v>
      </c>
      <c r="D7" s="331">
        <f>G7</f>
        <v>500</v>
      </c>
      <c r="E7" s="305"/>
      <c r="F7" s="84">
        <f>G7-M7</f>
        <v>0</v>
      </c>
      <c r="G7" s="111">
        <v>500</v>
      </c>
      <c r="H7" s="86">
        <f>G7/12*10</f>
        <v>416.66666666666663</v>
      </c>
      <c r="I7" s="344">
        <v>0</v>
      </c>
      <c r="J7" s="86">
        <f>H7-I7</f>
        <v>416.66666666666663</v>
      </c>
      <c r="K7" s="112"/>
      <c r="L7" s="84">
        <f t="shared" ref="L7:L8" si="0">M7-R7</f>
        <v>0</v>
      </c>
      <c r="M7" s="111">
        <v>500</v>
      </c>
      <c r="N7" s="86">
        <f>M7/12*10</f>
        <v>416.66666666666663</v>
      </c>
      <c r="O7" s="112">
        <v>0</v>
      </c>
      <c r="P7" s="86">
        <f>N7-O7</f>
        <v>416.66666666666663</v>
      </c>
      <c r="Q7" s="112"/>
      <c r="R7" s="111">
        <v>500</v>
      </c>
      <c r="S7" s="112">
        <f>SUM(R7/12*10)</f>
        <v>416.66666666666663</v>
      </c>
      <c r="T7" s="112">
        <v>0</v>
      </c>
      <c r="U7" s="86">
        <f>S7-T7</f>
        <v>416.66666666666663</v>
      </c>
    </row>
    <row r="8" spans="1:24" x14ac:dyDescent="0.25">
      <c r="A8" s="35" t="s">
        <v>125</v>
      </c>
      <c r="C8" s="84">
        <f>D8-G8</f>
        <v>0</v>
      </c>
      <c r="D8" s="328">
        <v>0</v>
      </c>
      <c r="F8" s="84">
        <f>G8-M8</f>
        <v>0</v>
      </c>
      <c r="G8" s="111">
        <v>0</v>
      </c>
      <c r="H8" s="86">
        <f>G8/12*10</f>
        <v>0</v>
      </c>
      <c r="I8" s="344">
        <v>0</v>
      </c>
      <c r="J8" s="86">
        <f>H8-I8</f>
        <v>0</v>
      </c>
      <c r="K8" s="112"/>
      <c r="L8" s="84">
        <f t="shared" si="0"/>
        <v>0</v>
      </c>
      <c r="M8" s="111">
        <v>0</v>
      </c>
      <c r="N8" s="86">
        <f>M8/12*10</f>
        <v>0</v>
      </c>
      <c r="O8" s="112">
        <v>0</v>
      </c>
      <c r="P8" s="86">
        <f>N8-O8</f>
        <v>0</v>
      </c>
      <c r="Q8" s="112"/>
      <c r="R8" s="111">
        <v>0</v>
      </c>
      <c r="S8" s="112">
        <f>SUM(R8/12*10)</f>
        <v>0</v>
      </c>
      <c r="T8" s="112">
        <v>0</v>
      </c>
      <c r="U8" s="86">
        <f>S8-T8</f>
        <v>0</v>
      </c>
      <c r="W8" s="48"/>
    </row>
    <row r="9" spans="1:24" x14ac:dyDescent="0.25">
      <c r="C9" s="110"/>
      <c r="F9" s="110"/>
      <c r="G9" s="111"/>
      <c r="H9" s="112"/>
      <c r="I9" s="112"/>
      <c r="J9" s="112"/>
      <c r="K9" s="112"/>
      <c r="L9" s="110"/>
      <c r="M9" s="111"/>
      <c r="N9" s="112"/>
      <c r="O9" s="112"/>
      <c r="P9" s="112"/>
      <c r="Q9" s="112"/>
      <c r="R9" s="111"/>
      <c r="S9" s="112"/>
      <c r="T9" s="112"/>
      <c r="U9" s="112"/>
    </row>
    <row r="10" spans="1:24" s="132" customFormat="1" ht="15.75" thickBot="1" x14ac:dyDescent="0.3">
      <c r="A10" s="138" t="s">
        <v>169</v>
      </c>
      <c r="C10" s="134">
        <f t="shared" ref="C10" si="1">SUM(C6:C9)</f>
        <v>0</v>
      </c>
      <c r="D10" s="135">
        <f t="shared" ref="D10" si="2">SUM(D6:D9)</f>
        <v>500</v>
      </c>
      <c r="E10" s="324"/>
      <c r="F10" s="134">
        <f>SUM(F6:F9)</f>
        <v>0</v>
      </c>
      <c r="G10" s="135">
        <f>SUM(G6:G9)</f>
        <v>500</v>
      </c>
      <c r="H10" s="137">
        <f t="shared" ref="H10:J10" si="3">SUM(H6:H9)</f>
        <v>416.66666666666663</v>
      </c>
      <c r="I10" s="137">
        <f t="shared" si="3"/>
        <v>0</v>
      </c>
      <c r="J10" s="137">
        <f t="shared" si="3"/>
        <v>416.66666666666663</v>
      </c>
      <c r="K10" s="136"/>
      <c r="L10" s="134">
        <f t="shared" ref="L10:P10" si="4">SUM(L6:L9)</f>
        <v>0</v>
      </c>
      <c r="M10" s="135">
        <f t="shared" si="4"/>
        <v>500</v>
      </c>
      <c r="N10" s="137">
        <f t="shared" si="4"/>
        <v>416.66666666666663</v>
      </c>
      <c r="O10" s="137">
        <f t="shared" si="4"/>
        <v>0</v>
      </c>
      <c r="P10" s="137">
        <f t="shared" si="4"/>
        <v>416.66666666666663</v>
      </c>
      <c r="Q10" s="136"/>
      <c r="R10" s="135">
        <f>SUM(R6:R9)</f>
        <v>500</v>
      </c>
      <c r="S10" s="137">
        <f t="shared" ref="S10:U10" si="5">SUM(S6:S9)</f>
        <v>416.66666666666663</v>
      </c>
      <c r="T10" s="137">
        <f t="shared" si="5"/>
        <v>0</v>
      </c>
      <c r="U10" s="137">
        <f t="shared" si="5"/>
        <v>416.66666666666663</v>
      </c>
    </row>
    <row r="11" spans="1:24" x14ac:dyDescent="0.25">
      <c r="A11" s="35"/>
      <c r="C11" s="110"/>
      <c r="F11" s="110"/>
      <c r="G11" s="113"/>
      <c r="H11" s="112"/>
      <c r="I11" s="112"/>
      <c r="J11" s="112"/>
      <c r="K11" s="112"/>
      <c r="L11" s="110"/>
      <c r="M11" s="113"/>
      <c r="N11" s="112"/>
      <c r="O11" s="112"/>
      <c r="P11" s="112"/>
      <c r="Q11" s="112"/>
      <c r="R11" s="113"/>
      <c r="S11" s="114"/>
      <c r="T11" s="114"/>
      <c r="U11" s="112"/>
    </row>
    <row r="12" spans="1:24" x14ac:dyDescent="0.25">
      <c r="A12" s="35" t="s">
        <v>99</v>
      </c>
      <c r="C12" s="84">
        <f>D12-G12</f>
        <v>-700</v>
      </c>
      <c r="D12" s="363">
        <f>Reserves!F8</f>
        <v>2975</v>
      </c>
      <c r="E12" s="305"/>
      <c r="F12" s="84">
        <f>G12-M12</f>
        <v>175</v>
      </c>
      <c r="G12" s="111">
        <v>3675</v>
      </c>
      <c r="H12" s="86">
        <f>G12/12*10</f>
        <v>3062.5</v>
      </c>
      <c r="I12" s="344"/>
      <c r="J12" s="86">
        <f>H12-I12</f>
        <v>3062.5</v>
      </c>
      <c r="K12" s="112"/>
      <c r="L12" s="84">
        <f t="shared" ref="L12" si="6">M12-R12</f>
        <v>0</v>
      </c>
      <c r="M12" s="111">
        <v>3500</v>
      </c>
      <c r="N12" s="86">
        <f>M12/12*10</f>
        <v>2916.666666666667</v>
      </c>
      <c r="O12" s="112">
        <v>0</v>
      </c>
      <c r="P12" s="86">
        <f>N12-O12</f>
        <v>2916.666666666667</v>
      </c>
      <c r="Q12" s="112"/>
      <c r="R12" s="111">
        <v>3500</v>
      </c>
      <c r="S12" s="112">
        <v>2917</v>
      </c>
      <c r="T12" s="112">
        <v>2250</v>
      </c>
      <c r="U12" s="86">
        <f>S12-T12</f>
        <v>667</v>
      </c>
      <c r="W12" s="43"/>
    </row>
    <row r="13" spans="1:24" x14ac:dyDescent="0.25">
      <c r="A13" s="35"/>
      <c r="C13" s="110"/>
      <c r="F13" s="110"/>
      <c r="G13" s="111"/>
      <c r="H13" s="112"/>
      <c r="I13" s="112"/>
      <c r="J13" s="112"/>
      <c r="K13" s="112"/>
      <c r="L13" s="84"/>
      <c r="M13" s="111"/>
      <c r="N13" s="112"/>
      <c r="O13" s="112"/>
      <c r="P13" s="112"/>
      <c r="Q13" s="112"/>
      <c r="R13" s="111"/>
      <c r="S13" s="112"/>
      <c r="T13" s="112"/>
      <c r="U13" s="86"/>
    </row>
    <row r="14" spans="1:24" s="132" customFormat="1" ht="15.75" thickBot="1" x14ac:dyDescent="0.3">
      <c r="A14" s="138" t="s">
        <v>1</v>
      </c>
      <c r="C14" s="134">
        <f>SUM(C10:C12)</f>
        <v>-700</v>
      </c>
      <c r="D14" s="135">
        <f>SUM(D10:D12)</f>
        <v>3475</v>
      </c>
      <c r="E14" s="324"/>
      <c r="F14" s="134">
        <f>SUM(F10:F12)</f>
        <v>175</v>
      </c>
      <c r="G14" s="135">
        <f>SUM(G10:G12)</f>
        <v>4175</v>
      </c>
      <c r="H14" s="137">
        <f>SUM(H10:H12)</f>
        <v>3479.1666666666665</v>
      </c>
      <c r="I14" s="137">
        <f>SUM(I10:I12)</f>
        <v>0</v>
      </c>
      <c r="J14" s="137">
        <f>SUM(J10:J12)</f>
        <v>3479.1666666666665</v>
      </c>
      <c r="K14" s="136"/>
      <c r="L14" s="134">
        <f>SUM(L10:L12)</f>
        <v>0</v>
      </c>
      <c r="M14" s="135">
        <f>SUM(M10:M12)</f>
        <v>4000</v>
      </c>
      <c r="N14" s="137">
        <f>SUM(N10:N12)</f>
        <v>3333.3333333333335</v>
      </c>
      <c r="O14" s="137">
        <f>SUM(O10:O12)</f>
        <v>0</v>
      </c>
      <c r="P14" s="137">
        <f>SUM(P10:P12)</f>
        <v>3333.3333333333335</v>
      </c>
      <c r="Q14" s="136"/>
      <c r="R14" s="135">
        <f>SUM(R10:R12)</f>
        <v>4000</v>
      </c>
      <c r="S14" s="137">
        <f>SUM(S10:S12)</f>
        <v>3333.6666666666665</v>
      </c>
      <c r="T14" s="137">
        <f>SUM(T10:T12)</f>
        <v>2250</v>
      </c>
      <c r="U14" s="137">
        <f>SUM(U10:U12)</f>
        <v>1083.6666666666665</v>
      </c>
      <c r="W14" s="158">
        <f>SUM(B14:V14)</f>
        <v>35417.333333333328</v>
      </c>
      <c r="X14" s="159" t="s">
        <v>174</v>
      </c>
    </row>
    <row r="15" spans="1:24" x14ac:dyDescent="0.25">
      <c r="F15" s="32"/>
      <c r="G15" s="32"/>
    </row>
    <row r="16" spans="1:24" x14ac:dyDescent="0.25">
      <c r="A16" s="5" t="s">
        <v>166</v>
      </c>
      <c r="B16" s="5"/>
      <c r="C16" s="100">
        <f>Summary!$C$25</f>
        <v>1.7000000000000001E-2</v>
      </c>
      <c r="D16" s="306"/>
      <c r="E16" s="306"/>
      <c r="F16" s="32"/>
      <c r="G16" s="32"/>
      <c r="H16" s="306"/>
    </row>
    <row r="17" spans="1:7" x14ac:dyDescent="0.25">
      <c r="F17" s="32"/>
      <c r="G17" s="32"/>
    </row>
    <row r="18" spans="1:7" ht="18.75" x14ac:dyDescent="0.25">
      <c r="A18" s="351" t="s">
        <v>267</v>
      </c>
      <c r="B18" s="352"/>
      <c r="C18" s="353" t="s">
        <v>236</v>
      </c>
      <c r="D18" s="354" t="s">
        <v>237</v>
      </c>
      <c r="F18" s="356" t="s">
        <v>268</v>
      </c>
      <c r="G18" s="32"/>
    </row>
    <row r="19" spans="1:7" x14ac:dyDescent="0.25">
      <c r="A19" s="236" t="s">
        <v>297</v>
      </c>
      <c r="B19" s="237"/>
      <c r="C19" s="239"/>
      <c r="D19" s="239"/>
      <c r="F19" s="32" t="s">
        <v>316</v>
      </c>
      <c r="G19" s="32"/>
    </row>
    <row r="20" spans="1:7" x14ac:dyDescent="0.25">
      <c r="A20" s="192"/>
      <c r="B20" s="237"/>
      <c r="C20" s="239"/>
      <c r="D20" s="239"/>
      <c r="F20" s="32"/>
      <c r="G20" s="32"/>
    </row>
    <row r="21" spans="1:7" x14ac:dyDescent="0.25">
      <c r="A21" s="192"/>
      <c r="B21" s="237"/>
      <c r="C21" s="238"/>
      <c r="D21" s="239"/>
      <c r="F21" s="32"/>
      <c r="G21" s="32"/>
    </row>
    <row r="22" spans="1:7" x14ac:dyDescent="0.25">
      <c r="A22" s="192"/>
      <c r="B22" s="237"/>
      <c r="C22" s="238"/>
      <c r="D22" s="239"/>
      <c r="F22" s="32"/>
      <c r="G22" s="32"/>
    </row>
    <row r="23" spans="1:7" x14ac:dyDescent="0.25">
      <c r="A23" s="194"/>
      <c r="B23" s="193"/>
      <c r="C23" s="191"/>
      <c r="D23" s="191"/>
      <c r="F23" s="32"/>
      <c r="G23" s="32"/>
    </row>
    <row r="24" spans="1:7" x14ac:dyDescent="0.25">
      <c r="A24" s="194"/>
      <c r="B24" s="193"/>
      <c r="C24" s="191"/>
      <c r="D24" s="191"/>
      <c r="F24" s="32"/>
      <c r="G24" s="32"/>
    </row>
    <row r="25" spans="1:7" x14ac:dyDescent="0.25">
      <c r="A25" s="194"/>
      <c r="B25" s="193"/>
      <c r="C25" s="191"/>
      <c r="D25" s="191"/>
      <c r="F25" s="32"/>
      <c r="G25" s="32"/>
    </row>
    <row r="26" spans="1:7" x14ac:dyDescent="0.25">
      <c r="A26" s="194"/>
      <c r="B26" s="193"/>
      <c r="C26" s="191"/>
      <c r="D26" s="191"/>
      <c r="F26" s="32"/>
      <c r="G26" s="32"/>
    </row>
    <row r="27" spans="1:7" x14ac:dyDescent="0.25">
      <c r="A27" s="194"/>
      <c r="B27" s="193"/>
      <c r="C27" s="191"/>
      <c r="D27" s="191"/>
      <c r="F27" s="32"/>
      <c r="G27" s="32"/>
    </row>
    <row r="28" spans="1:7" x14ac:dyDescent="0.25">
      <c r="A28" s="221"/>
      <c r="B28" s="237"/>
      <c r="C28" s="238"/>
      <c r="D28" s="238"/>
      <c r="F28" s="32"/>
      <c r="G28" s="32"/>
    </row>
    <row r="29" spans="1:7" x14ac:dyDescent="0.25">
      <c r="A29" s="240" t="s">
        <v>201</v>
      </c>
      <c r="B29" s="241"/>
      <c r="C29" s="242">
        <f>SUM(C19:C28)</f>
        <v>0</v>
      </c>
      <c r="D29" s="242">
        <f>SUM(D19:D28)</f>
        <v>0</v>
      </c>
      <c r="F29" s="32"/>
      <c r="G29" s="32"/>
    </row>
    <row r="30" spans="1:7" x14ac:dyDescent="0.25">
      <c r="A30" s="295"/>
      <c r="B30" s="226"/>
      <c r="C30" s="226"/>
      <c r="D30" s="303"/>
      <c r="F30" s="32"/>
      <c r="G30" s="32"/>
    </row>
    <row r="31" spans="1:7" ht="30" customHeight="1" x14ac:dyDescent="0.25">
      <c r="A31" s="414"/>
      <c r="B31" s="415"/>
      <c r="C31" s="415"/>
      <c r="D31" s="415"/>
      <c r="E31" s="425"/>
      <c r="F31" s="425"/>
    </row>
    <row r="32" spans="1:7" ht="30" customHeight="1" x14ac:dyDescent="0.25">
      <c r="A32" s="414"/>
      <c r="B32" s="415"/>
      <c r="C32" s="415"/>
      <c r="D32" s="415"/>
      <c r="E32" s="425"/>
      <c r="F32" s="425"/>
    </row>
    <row r="33" spans="1:6" ht="30" customHeight="1" x14ac:dyDescent="0.25">
      <c r="A33" s="414"/>
      <c r="B33" s="415"/>
      <c r="C33" s="415"/>
      <c r="D33" s="415"/>
      <c r="E33" s="425"/>
      <c r="F33" s="425"/>
    </row>
  </sheetData>
  <mergeCells count="17">
    <mergeCell ref="G4:H4"/>
    <mergeCell ref="H5:J5"/>
    <mergeCell ref="F3:J3"/>
    <mergeCell ref="R3:U3"/>
    <mergeCell ref="F4:F5"/>
    <mergeCell ref="L4:L5"/>
    <mergeCell ref="M4:N4"/>
    <mergeCell ref="R4:S4"/>
    <mergeCell ref="N5:P5"/>
    <mergeCell ref="S5:U5"/>
    <mergeCell ref="L3:P3"/>
    <mergeCell ref="A31:F31"/>
    <mergeCell ref="A32:F32"/>
    <mergeCell ref="A33:F33"/>
    <mergeCell ref="C3:D3"/>
    <mergeCell ref="C4:C5"/>
    <mergeCell ref="D4:D5"/>
  </mergeCells>
  <phoneticPr fontId="19" type="noConversion"/>
  <pageMargins left="0.74803149606299213" right="0.74803149606299213" top="0.98425196850393704" bottom="0.98425196850393704" header="0.51181102362204722" footer="0.51181102362204722"/>
  <pageSetup paperSize="9" scale="64" orientation="landscape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X49"/>
  <sheetViews>
    <sheetView showGridLines="0" tabSelected="1" zoomScale="80" zoomScaleNormal="80" workbookViewId="0">
      <pane ySplit="5" topLeftCell="A6" activePane="bottomLeft" state="frozen"/>
      <selection pane="bottomLeft" activeCell="A47" sqref="A47:F49"/>
    </sheetView>
  </sheetViews>
  <sheetFormatPr defaultColWidth="9.140625" defaultRowHeight="15" x14ac:dyDescent="0.25"/>
  <cols>
    <col min="1" max="1" width="40.7109375" style="32" customWidth="1"/>
    <col min="2" max="2" width="2.7109375" style="32" customWidth="1"/>
    <col min="3" max="3" width="11.7109375" style="32" customWidth="1"/>
    <col min="4" max="4" width="11.7109375" style="34" customWidth="1"/>
    <col min="5" max="5" width="2.7109375" style="34" customWidth="1"/>
    <col min="6" max="8" width="11.7109375" style="34" customWidth="1"/>
    <col min="9" max="10" width="11.7109375" style="32" customWidth="1"/>
    <col min="11" max="11" width="2.7109375" style="32" customWidth="1"/>
    <col min="12" max="15" width="11.7109375" style="32" customWidth="1"/>
    <col min="16" max="16" width="11.7109375" style="75" customWidth="1"/>
    <col min="17" max="17" width="2.7109375" style="32" customWidth="1"/>
    <col min="18" max="21" width="11.7109375" style="32" customWidth="1"/>
    <col min="22" max="22" width="2.7109375" style="32" customWidth="1"/>
    <col min="23" max="23" width="9.140625" style="75"/>
    <col min="24" max="16384" width="9.140625" style="32"/>
  </cols>
  <sheetData>
    <row r="1" spans="1:24" s="47" customFormat="1" ht="21" x14ac:dyDescent="0.3">
      <c r="A1" s="27" t="s">
        <v>126</v>
      </c>
      <c r="B1" s="27"/>
      <c r="C1" s="27"/>
      <c r="D1" s="313"/>
      <c r="E1" s="313"/>
      <c r="F1" s="313"/>
      <c r="G1" s="313"/>
      <c r="H1" s="313"/>
      <c r="I1" s="28"/>
      <c r="J1" s="28"/>
      <c r="K1" s="28"/>
      <c r="L1" s="28"/>
      <c r="M1" s="22" t="s">
        <v>242</v>
      </c>
      <c r="N1" s="18"/>
      <c r="O1" s="195">
        <v>6</v>
      </c>
      <c r="P1" s="18"/>
      <c r="Q1" s="18"/>
      <c r="R1" s="18"/>
      <c r="S1" s="18"/>
      <c r="T1" s="18"/>
      <c r="U1" s="18"/>
      <c r="V1" s="18"/>
      <c r="W1" s="18"/>
    </row>
    <row r="2" spans="1:24" x14ac:dyDescent="0.25">
      <c r="B2" s="4"/>
      <c r="C2" s="4"/>
      <c r="D2" s="316"/>
      <c r="E2" s="316"/>
      <c r="F2" s="316"/>
      <c r="G2" s="316"/>
      <c r="H2" s="316"/>
      <c r="I2" s="4"/>
      <c r="J2" s="4"/>
      <c r="K2" s="4"/>
      <c r="L2" s="4"/>
      <c r="M2" s="3"/>
      <c r="N2" s="295"/>
      <c r="O2" s="295"/>
      <c r="P2" s="295"/>
      <c r="Q2" s="295"/>
      <c r="R2" s="295"/>
      <c r="S2" s="295"/>
      <c r="T2" s="295"/>
      <c r="U2" s="295"/>
      <c r="V2" s="295"/>
      <c r="W2" s="295"/>
    </row>
    <row r="3" spans="1:24" s="340" customFormat="1" ht="21" x14ac:dyDescent="0.35">
      <c r="A3" s="22" t="s">
        <v>245</v>
      </c>
      <c r="B3" s="334"/>
      <c r="C3" s="403">
        <v>2020</v>
      </c>
      <c r="D3" s="404"/>
      <c r="E3" s="335"/>
      <c r="F3" s="403">
        <v>2019</v>
      </c>
      <c r="G3" s="405"/>
      <c r="H3" s="423"/>
      <c r="I3" s="423"/>
      <c r="J3" s="424"/>
      <c r="K3" s="335"/>
      <c r="L3" s="403">
        <v>2018</v>
      </c>
      <c r="M3" s="423"/>
      <c r="N3" s="423"/>
      <c r="O3" s="423"/>
      <c r="P3" s="424"/>
      <c r="Q3" s="334"/>
      <c r="R3" s="403">
        <v>2017</v>
      </c>
      <c r="S3" s="405"/>
      <c r="T3" s="405"/>
      <c r="U3" s="404"/>
      <c r="V3" s="335"/>
      <c r="W3" s="336" t="s">
        <v>98</v>
      </c>
    </row>
    <row r="4" spans="1:24" x14ac:dyDescent="0.25">
      <c r="A4" s="23"/>
      <c r="B4" s="23"/>
      <c r="C4" s="420" t="s">
        <v>261</v>
      </c>
      <c r="D4" s="401" t="s">
        <v>44</v>
      </c>
      <c r="E4" s="290"/>
      <c r="F4" s="420" t="s">
        <v>165</v>
      </c>
      <c r="G4" s="419" t="s">
        <v>163</v>
      </c>
      <c r="H4" s="419"/>
      <c r="I4" s="292" t="s">
        <v>118</v>
      </c>
      <c r="J4" s="292" t="s">
        <v>97</v>
      </c>
      <c r="K4" s="292"/>
      <c r="L4" s="420" t="s">
        <v>164</v>
      </c>
      <c r="M4" s="409" t="s">
        <v>163</v>
      </c>
      <c r="N4" s="409"/>
      <c r="O4" s="24" t="s">
        <v>118</v>
      </c>
      <c r="P4" s="24" t="s">
        <v>97</v>
      </c>
      <c r="Q4" s="23"/>
      <c r="R4" s="409" t="s">
        <v>163</v>
      </c>
      <c r="S4" s="422"/>
      <c r="T4" s="24" t="s">
        <v>118</v>
      </c>
      <c r="U4" s="24" t="s">
        <v>97</v>
      </c>
      <c r="V4" s="24"/>
      <c r="W4" s="14"/>
    </row>
    <row r="5" spans="1:24" x14ac:dyDescent="0.25">
      <c r="A5" s="23"/>
      <c r="B5" s="23"/>
      <c r="C5" s="431"/>
      <c r="D5" s="402"/>
      <c r="E5" s="291"/>
      <c r="F5" s="431"/>
      <c r="G5" s="26" t="s">
        <v>161</v>
      </c>
      <c r="H5" s="409" t="s">
        <v>162</v>
      </c>
      <c r="I5" s="408"/>
      <c r="J5" s="408"/>
      <c r="K5" s="293"/>
      <c r="L5" s="421"/>
      <c r="M5" s="26" t="s">
        <v>161</v>
      </c>
      <c r="N5" s="409" t="s">
        <v>162</v>
      </c>
      <c r="O5" s="408"/>
      <c r="P5" s="408"/>
      <c r="Q5" s="23"/>
      <c r="R5" s="26" t="s">
        <v>161</v>
      </c>
      <c r="S5" s="409" t="s">
        <v>162</v>
      </c>
      <c r="T5" s="408"/>
      <c r="U5" s="408"/>
      <c r="V5" s="24"/>
      <c r="W5" s="14"/>
    </row>
    <row r="6" spans="1:24" x14ac:dyDescent="0.25">
      <c r="A6" s="23"/>
      <c r="B6" s="23"/>
      <c r="C6" s="348"/>
      <c r="D6" s="291"/>
      <c r="E6" s="291"/>
      <c r="F6" s="348"/>
      <c r="G6" s="26"/>
      <c r="H6" s="294"/>
      <c r="I6" s="293"/>
      <c r="J6" s="293"/>
      <c r="K6" s="293"/>
      <c r="L6" s="349"/>
      <c r="M6" s="26"/>
      <c r="N6" s="294"/>
      <c r="O6" s="293"/>
      <c r="P6" s="293"/>
      <c r="Q6" s="23"/>
      <c r="R6" s="26"/>
      <c r="S6" s="294"/>
      <c r="T6" s="293"/>
      <c r="U6" s="293"/>
      <c r="V6" s="292"/>
      <c r="W6" s="14"/>
    </row>
    <row r="7" spans="1:24" x14ac:dyDescent="0.25">
      <c r="A7" s="49" t="s">
        <v>20</v>
      </c>
      <c r="F7" s="115"/>
      <c r="G7" s="116"/>
      <c r="J7" s="117"/>
      <c r="K7" s="117"/>
      <c r="L7" s="115"/>
      <c r="M7" s="116"/>
      <c r="N7" s="117"/>
      <c r="O7" s="117"/>
      <c r="P7" s="118"/>
      <c r="Q7" s="117"/>
      <c r="R7" s="116"/>
      <c r="S7" s="117"/>
      <c r="T7" s="117"/>
      <c r="U7" s="117"/>
    </row>
    <row r="8" spans="1:24" x14ac:dyDescent="0.25">
      <c r="A8" s="50" t="s">
        <v>21</v>
      </c>
      <c r="C8" s="84">
        <f>D8-G8</f>
        <v>188</v>
      </c>
      <c r="D8" s="328">
        <v>1088</v>
      </c>
      <c r="F8" s="84">
        <f>G8-M8</f>
        <v>50</v>
      </c>
      <c r="G8" s="116">
        <v>900</v>
      </c>
      <c r="H8" s="86">
        <f>G8/12*10</f>
        <v>750</v>
      </c>
      <c r="I8" s="343">
        <v>880</v>
      </c>
      <c r="J8" s="86">
        <f>H8-I8</f>
        <v>-130</v>
      </c>
      <c r="K8" s="117"/>
      <c r="L8" s="79">
        <f>M8-R8</f>
        <v>25</v>
      </c>
      <c r="M8" s="116">
        <v>850</v>
      </c>
      <c r="N8" s="86">
        <f>M8/12*10</f>
        <v>708.33333333333326</v>
      </c>
      <c r="O8" s="86">
        <v>576</v>
      </c>
      <c r="P8" s="86">
        <f>N8-O8</f>
        <v>132.33333333333326</v>
      </c>
      <c r="Q8" s="117"/>
      <c r="R8" s="116">
        <v>825</v>
      </c>
      <c r="S8" s="117">
        <f>SUM(R8/12*10)</f>
        <v>687.5</v>
      </c>
      <c r="T8" s="117">
        <v>646.87</v>
      </c>
      <c r="U8" s="117">
        <f>S8-T8</f>
        <v>40.629999999999995</v>
      </c>
      <c r="W8" s="119"/>
    </row>
    <row r="9" spans="1:24" x14ac:dyDescent="0.25">
      <c r="A9" s="50" t="s">
        <v>14</v>
      </c>
      <c r="B9" s="7" t="s">
        <v>167</v>
      </c>
      <c r="C9" s="84">
        <f>D9-G9</f>
        <v>-2.0400000000000063</v>
      </c>
      <c r="D9" s="329">
        <v>120</v>
      </c>
      <c r="E9" s="308"/>
      <c r="F9" s="84">
        <f>G9-M9</f>
        <v>2.0400000000000063</v>
      </c>
      <c r="G9" s="85">
        <f>M9+(M9*$C$32)</f>
        <v>122.04</v>
      </c>
      <c r="H9" s="86">
        <f t="shared" ref="H9:H11" si="0">G9/12*10</f>
        <v>101.7</v>
      </c>
      <c r="I9" s="343">
        <v>100</v>
      </c>
      <c r="J9" s="86">
        <f t="shared" ref="J9:J11" si="1">H9-I9</f>
        <v>1.7000000000000028</v>
      </c>
      <c r="K9" s="117"/>
      <c r="L9" s="79">
        <f>M9-R9</f>
        <v>0</v>
      </c>
      <c r="M9" s="116">
        <v>120</v>
      </c>
      <c r="N9" s="86">
        <f t="shared" ref="N9:N11" si="2">M9/12*10</f>
        <v>100</v>
      </c>
      <c r="O9" s="86">
        <v>115</v>
      </c>
      <c r="P9" s="86">
        <f t="shared" ref="P9:P11" si="3">N9-O9</f>
        <v>-15</v>
      </c>
      <c r="Q9" s="117"/>
      <c r="R9" s="116">
        <v>120</v>
      </c>
      <c r="S9" s="117">
        <f t="shared" ref="S9:S10" si="4">SUM(R9/12*10)</f>
        <v>100</v>
      </c>
      <c r="T9" s="117">
        <v>100</v>
      </c>
      <c r="U9" s="117">
        <f t="shared" ref="U9:U10" si="5">S9-T9</f>
        <v>0</v>
      </c>
      <c r="W9" s="119"/>
      <c r="X9" s="19"/>
    </row>
    <row r="10" spans="1:24" x14ac:dyDescent="0.25">
      <c r="A10" s="50" t="s">
        <v>15</v>
      </c>
      <c r="B10" s="7" t="s">
        <v>167</v>
      </c>
      <c r="C10" s="84">
        <f>D10-G10</f>
        <v>-208.5</v>
      </c>
      <c r="D10" s="329">
        <v>300</v>
      </c>
      <c r="E10" s="308"/>
      <c r="F10" s="84">
        <f>G10-M10</f>
        <v>-91.5</v>
      </c>
      <c r="G10" s="85">
        <f>500+(500*$C$32)</f>
        <v>508.5</v>
      </c>
      <c r="H10" s="86">
        <f t="shared" si="0"/>
        <v>423.75</v>
      </c>
      <c r="I10" s="343">
        <v>218</v>
      </c>
      <c r="J10" s="86">
        <f t="shared" si="1"/>
        <v>205.75</v>
      </c>
      <c r="K10" s="117"/>
      <c r="L10" s="79">
        <f>M10-R10</f>
        <v>-200</v>
      </c>
      <c r="M10" s="116">
        <v>600</v>
      </c>
      <c r="N10" s="86">
        <f t="shared" si="2"/>
        <v>500</v>
      </c>
      <c r="O10" s="86">
        <v>360.87</v>
      </c>
      <c r="P10" s="86">
        <f t="shared" si="3"/>
        <v>139.13</v>
      </c>
      <c r="Q10" s="117"/>
      <c r="R10" s="116">
        <v>800</v>
      </c>
      <c r="S10" s="117">
        <f t="shared" si="4"/>
        <v>666.66666666666674</v>
      </c>
      <c r="T10" s="117">
        <v>164.94</v>
      </c>
      <c r="U10" s="117">
        <f t="shared" si="5"/>
        <v>501.72666666666674</v>
      </c>
      <c r="W10" s="187"/>
    </row>
    <row r="11" spans="1:24" x14ac:dyDescent="0.25">
      <c r="A11" s="50" t="s">
        <v>155</v>
      </c>
      <c r="C11" s="84">
        <f>D11-G11</f>
        <v>0</v>
      </c>
      <c r="D11" s="328">
        <v>210</v>
      </c>
      <c r="F11" s="84">
        <f>G11-M11</f>
        <v>210</v>
      </c>
      <c r="G11" s="116">
        <f>175*1.2</f>
        <v>210</v>
      </c>
      <c r="H11" s="86">
        <f t="shared" si="0"/>
        <v>175</v>
      </c>
      <c r="I11" s="345">
        <v>210</v>
      </c>
      <c r="J11" s="86">
        <f t="shared" si="1"/>
        <v>-35</v>
      </c>
      <c r="K11" s="117"/>
      <c r="L11" s="79">
        <f>M11-R11</f>
        <v>0</v>
      </c>
      <c r="M11" s="116">
        <v>0</v>
      </c>
      <c r="N11" s="86">
        <f t="shared" si="2"/>
        <v>0</v>
      </c>
      <c r="O11" s="117">
        <v>0</v>
      </c>
      <c r="P11" s="86">
        <f t="shared" si="3"/>
        <v>0</v>
      </c>
      <c r="Q11" s="117"/>
      <c r="R11" s="116">
        <v>0</v>
      </c>
      <c r="S11" s="117">
        <f t="shared" ref="S11" si="6">SUM(R11/12*10)</f>
        <v>0</v>
      </c>
      <c r="T11" s="117">
        <v>0</v>
      </c>
      <c r="U11" s="117">
        <f t="shared" ref="U11" si="7">S11-T11</f>
        <v>0</v>
      </c>
      <c r="W11" s="119"/>
    </row>
    <row r="12" spans="1:24" x14ac:dyDescent="0.25">
      <c r="A12" s="50"/>
      <c r="C12" s="84"/>
      <c r="F12" s="84"/>
      <c r="G12" s="116"/>
      <c r="H12" s="117"/>
      <c r="I12" s="117"/>
      <c r="J12" s="118"/>
      <c r="K12" s="117"/>
      <c r="L12" s="115"/>
      <c r="M12" s="116"/>
      <c r="N12" s="117"/>
      <c r="O12" s="117"/>
      <c r="P12" s="118"/>
      <c r="Q12" s="117"/>
      <c r="R12" s="116"/>
      <c r="S12" s="117"/>
      <c r="T12" s="117"/>
      <c r="U12" s="117"/>
      <c r="W12" s="119"/>
    </row>
    <row r="13" spans="1:24" s="132" customFormat="1" ht="15.75" thickBot="1" x14ac:dyDescent="0.3">
      <c r="A13" s="138" t="s">
        <v>170</v>
      </c>
      <c r="C13" s="139">
        <f>SUM(C7:C12)</f>
        <v>-22.54000000000002</v>
      </c>
      <c r="D13" s="140">
        <f>SUM(D7:D12)</f>
        <v>1718</v>
      </c>
      <c r="E13" s="321"/>
      <c r="F13" s="139">
        <f>SUM(F7:F12)</f>
        <v>170.54000000000002</v>
      </c>
      <c r="G13" s="140">
        <f>SUM(G7:G12)</f>
        <v>1740.54</v>
      </c>
      <c r="H13" s="138">
        <f t="shared" ref="H13:J13" si="8">SUM(H7:H12)</f>
        <v>1450.45</v>
      </c>
      <c r="I13" s="138">
        <f t="shared" si="8"/>
        <v>1408</v>
      </c>
      <c r="J13" s="142">
        <f t="shared" si="8"/>
        <v>42.449999999999989</v>
      </c>
      <c r="K13" s="138"/>
      <c r="L13" s="139">
        <f t="shared" ref="L13:P13" si="9">SUM(L7:L12)</f>
        <v>-175</v>
      </c>
      <c r="M13" s="140">
        <f t="shared" si="9"/>
        <v>1570</v>
      </c>
      <c r="N13" s="138">
        <f t="shared" si="9"/>
        <v>1308.3333333333333</v>
      </c>
      <c r="O13" s="138">
        <f t="shared" si="9"/>
        <v>1051.8699999999999</v>
      </c>
      <c r="P13" s="142">
        <f t="shared" si="9"/>
        <v>256.46333333333325</v>
      </c>
      <c r="Q13" s="141"/>
      <c r="R13" s="140">
        <f t="shared" ref="R13:U13" si="10">SUM(R7:R12)</f>
        <v>1745</v>
      </c>
      <c r="S13" s="138">
        <f t="shared" si="10"/>
        <v>1454.1666666666667</v>
      </c>
      <c r="T13" s="138">
        <f t="shared" si="10"/>
        <v>911.81</v>
      </c>
      <c r="U13" s="138">
        <f t="shared" si="10"/>
        <v>542.3566666666668</v>
      </c>
      <c r="W13" s="143"/>
    </row>
    <row r="14" spans="1:24" x14ac:dyDescent="0.25">
      <c r="A14" s="78"/>
      <c r="C14" s="123"/>
      <c r="F14" s="123"/>
      <c r="G14" s="124"/>
      <c r="H14" s="125"/>
      <c r="I14" s="125"/>
      <c r="J14" s="126"/>
      <c r="K14" s="125"/>
      <c r="L14" s="123"/>
      <c r="M14" s="124"/>
      <c r="N14" s="125"/>
      <c r="O14" s="125"/>
      <c r="P14" s="126"/>
      <c r="Q14" s="117"/>
      <c r="R14" s="124"/>
      <c r="S14" s="125"/>
      <c r="T14" s="125"/>
      <c r="U14" s="125"/>
      <c r="W14" s="119"/>
    </row>
    <row r="15" spans="1:24" x14ac:dyDescent="0.25">
      <c r="A15" s="49" t="s">
        <v>0</v>
      </c>
      <c r="C15" s="115"/>
      <c r="F15" s="115"/>
      <c r="G15" s="116"/>
      <c r="H15" s="117"/>
      <c r="I15" s="117"/>
      <c r="J15" s="118"/>
      <c r="K15" s="117"/>
      <c r="L15" s="115"/>
      <c r="M15" s="116"/>
      <c r="N15" s="117"/>
      <c r="O15" s="117"/>
      <c r="P15" s="118"/>
      <c r="Q15" s="117"/>
      <c r="R15" s="116"/>
      <c r="S15" s="117"/>
      <c r="T15" s="117"/>
      <c r="U15" s="117"/>
      <c r="W15" s="119"/>
    </row>
    <row r="16" spans="1:24" x14ac:dyDescent="0.25">
      <c r="A16" s="50" t="s">
        <v>11</v>
      </c>
      <c r="B16" s="7" t="s">
        <v>167</v>
      </c>
      <c r="C16" s="84">
        <f t="shared" ref="C16:C20" si="11">D16-G16</f>
        <v>3.1999999999999886</v>
      </c>
      <c r="D16" s="329">
        <v>410</v>
      </c>
      <c r="E16" s="308"/>
      <c r="F16" s="84">
        <f t="shared" ref="F16:F20" si="12">G16-M16</f>
        <v>6.8000000000000114</v>
      </c>
      <c r="G16" s="85">
        <f>M16+(M16*$C$32)</f>
        <v>406.8</v>
      </c>
      <c r="H16" s="86">
        <f t="shared" ref="H16:H20" si="13">G16/12*10</f>
        <v>339</v>
      </c>
      <c r="I16" s="343">
        <v>312</v>
      </c>
      <c r="J16" s="86">
        <f t="shared" ref="J16:J20" si="14">H16-I16</f>
        <v>27</v>
      </c>
      <c r="K16" s="117"/>
      <c r="L16" s="79">
        <f t="shared" ref="L16:L20" si="15">M16-R16</f>
        <v>0</v>
      </c>
      <c r="M16" s="116">
        <v>400</v>
      </c>
      <c r="N16" s="86">
        <f t="shared" ref="N16:N20" si="16">M16/12*10</f>
        <v>333.33333333333337</v>
      </c>
      <c r="O16" s="86">
        <v>180.11</v>
      </c>
      <c r="P16" s="86">
        <f t="shared" ref="P16:P20" si="17">N16-O16</f>
        <v>153.22333333333336</v>
      </c>
      <c r="Q16" s="117"/>
      <c r="R16" s="116">
        <v>400</v>
      </c>
      <c r="S16" s="117">
        <f t="shared" ref="S16:S20" si="18">SUM(R16/12*10)</f>
        <v>333.33333333333337</v>
      </c>
      <c r="T16" s="117">
        <v>302.83999999999997</v>
      </c>
      <c r="U16" s="117">
        <f t="shared" ref="U16:U20" si="19">S16-T16</f>
        <v>30.493333333333396</v>
      </c>
      <c r="W16" s="119"/>
    </row>
    <row r="17" spans="1:24" x14ac:dyDescent="0.25">
      <c r="A17" s="50" t="s">
        <v>16</v>
      </c>
      <c r="B17" s="7" t="s">
        <v>167</v>
      </c>
      <c r="C17" s="84">
        <f t="shared" si="11"/>
        <v>-0.85000000000000142</v>
      </c>
      <c r="D17" s="329">
        <v>50</v>
      </c>
      <c r="E17" s="308"/>
      <c r="F17" s="84">
        <f t="shared" si="12"/>
        <v>0.85000000000000142</v>
      </c>
      <c r="G17" s="85">
        <f>M17+(M17*$C$32)</f>
        <v>50.85</v>
      </c>
      <c r="H17" s="86">
        <f t="shared" si="13"/>
        <v>42.375</v>
      </c>
      <c r="I17" s="343">
        <v>0</v>
      </c>
      <c r="J17" s="86">
        <f t="shared" si="14"/>
        <v>42.375</v>
      </c>
      <c r="K17" s="117"/>
      <c r="L17" s="79">
        <f t="shared" si="15"/>
        <v>0</v>
      </c>
      <c r="M17" s="116">
        <v>50</v>
      </c>
      <c r="N17" s="86">
        <f t="shared" si="16"/>
        <v>41.666666666666671</v>
      </c>
      <c r="O17" s="86">
        <v>0</v>
      </c>
      <c r="P17" s="86">
        <f t="shared" si="17"/>
        <v>41.666666666666671</v>
      </c>
      <c r="Q17" s="117"/>
      <c r="R17" s="116">
        <v>50</v>
      </c>
      <c r="S17" s="117">
        <f t="shared" si="18"/>
        <v>41.666666666666671</v>
      </c>
      <c r="T17" s="117">
        <v>0</v>
      </c>
      <c r="U17" s="117">
        <f t="shared" si="19"/>
        <v>41.666666666666671</v>
      </c>
      <c r="W17" s="119"/>
      <c r="X17" s="48"/>
    </row>
    <row r="18" spans="1:24" x14ac:dyDescent="0.25">
      <c r="A18" s="50" t="s">
        <v>12</v>
      </c>
      <c r="B18" s="7" t="s">
        <v>167</v>
      </c>
      <c r="C18" s="84">
        <f t="shared" si="11"/>
        <v>-1.7000000000000028</v>
      </c>
      <c r="D18" s="329">
        <v>100</v>
      </c>
      <c r="E18" s="308"/>
      <c r="F18" s="84">
        <f t="shared" si="12"/>
        <v>1.7000000000000028</v>
      </c>
      <c r="G18" s="85">
        <f>M18+(M18*$C$32)</f>
        <v>101.7</v>
      </c>
      <c r="H18" s="86">
        <f t="shared" si="13"/>
        <v>84.75</v>
      </c>
      <c r="I18" s="343">
        <v>89</v>
      </c>
      <c r="J18" s="86">
        <f t="shared" si="14"/>
        <v>-4.25</v>
      </c>
      <c r="K18" s="117"/>
      <c r="L18" s="79">
        <f t="shared" si="15"/>
        <v>47</v>
      </c>
      <c r="M18" s="116">
        <v>100</v>
      </c>
      <c r="N18" s="86">
        <f t="shared" si="16"/>
        <v>83.333333333333343</v>
      </c>
      <c r="O18" s="86">
        <v>90</v>
      </c>
      <c r="P18" s="86">
        <f t="shared" si="17"/>
        <v>-6.6666666666666572</v>
      </c>
      <c r="Q18" s="117"/>
      <c r="R18" s="116">
        <v>53</v>
      </c>
      <c r="S18" s="117">
        <f t="shared" si="18"/>
        <v>44.166666666666671</v>
      </c>
      <c r="T18" s="117">
        <v>90</v>
      </c>
      <c r="U18" s="117">
        <f t="shared" si="19"/>
        <v>-45.833333333333329</v>
      </c>
      <c r="W18" s="119"/>
    </row>
    <row r="19" spans="1:24" x14ac:dyDescent="0.25">
      <c r="A19" s="50" t="s">
        <v>69</v>
      </c>
      <c r="B19" s="7" t="s">
        <v>167</v>
      </c>
      <c r="C19" s="84">
        <f t="shared" si="11"/>
        <v>0.14999999999999858</v>
      </c>
      <c r="D19" s="329">
        <v>51</v>
      </c>
      <c r="E19" s="308"/>
      <c r="F19" s="84">
        <f t="shared" si="12"/>
        <v>0.85000000000000142</v>
      </c>
      <c r="G19" s="85">
        <f>M19+(M19*$C$32)</f>
        <v>50.85</v>
      </c>
      <c r="H19" s="86">
        <f t="shared" si="13"/>
        <v>42.375</v>
      </c>
      <c r="I19" s="343">
        <v>106</v>
      </c>
      <c r="J19" s="86">
        <f t="shared" si="14"/>
        <v>-63.625</v>
      </c>
      <c r="K19" s="117"/>
      <c r="L19" s="79">
        <f t="shared" si="15"/>
        <v>0</v>
      </c>
      <c r="M19" s="116">
        <v>50</v>
      </c>
      <c r="N19" s="86">
        <f t="shared" si="16"/>
        <v>41.666666666666671</v>
      </c>
      <c r="O19" s="86">
        <v>30</v>
      </c>
      <c r="P19" s="86">
        <f t="shared" si="17"/>
        <v>11.666666666666671</v>
      </c>
      <c r="Q19" s="117"/>
      <c r="R19" s="116">
        <v>50</v>
      </c>
      <c r="S19" s="117">
        <f t="shared" si="18"/>
        <v>41.666666666666671</v>
      </c>
      <c r="T19" s="117">
        <v>30</v>
      </c>
      <c r="U19" s="117">
        <f t="shared" si="19"/>
        <v>11.666666666666671</v>
      </c>
      <c r="W19" s="119"/>
    </row>
    <row r="20" spans="1:24" x14ac:dyDescent="0.25">
      <c r="A20" s="50" t="s">
        <v>152</v>
      </c>
      <c r="C20" s="84">
        <f t="shared" si="11"/>
        <v>-42.920634920634924</v>
      </c>
      <c r="D20" s="328">
        <v>0</v>
      </c>
      <c r="F20" s="84">
        <f t="shared" si="12"/>
        <v>42.920634920634924</v>
      </c>
      <c r="G20" s="116">
        <f>Reserves!X9</f>
        <v>42.920634920634924</v>
      </c>
      <c r="H20" s="86">
        <f t="shared" si="13"/>
        <v>35.767195767195773</v>
      </c>
      <c r="I20" s="345">
        <v>92</v>
      </c>
      <c r="J20" s="86">
        <f t="shared" si="14"/>
        <v>-56.232804232804227</v>
      </c>
      <c r="K20" s="117"/>
      <c r="L20" s="79">
        <f t="shared" si="15"/>
        <v>0</v>
      </c>
      <c r="M20" s="116">
        <v>0</v>
      </c>
      <c r="N20" s="86">
        <f t="shared" si="16"/>
        <v>0</v>
      </c>
      <c r="O20" s="117">
        <v>0</v>
      </c>
      <c r="P20" s="86">
        <f t="shared" si="17"/>
        <v>0</v>
      </c>
      <c r="Q20" s="117"/>
      <c r="R20" s="116">
        <v>0</v>
      </c>
      <c r="S20" s="117">
        <f t="shared" si="18"/>
        <v>0</v>
      </c>
      <c r="T20" s="117">
        <v>0</v>
      </c>
      <c r="U20" s="117">
        <f t="shared" si="19"/>
        <v>0</v>
      </c>
      <c r="W20" s="119"/>
    </row>
    <row r="21" spans="1:24" x14ac:dyDescent="0.25">
      <c r="A21" s="50"/>
      <c r="C21" s="84"/>
      <c r="F21" s="84"/>
      <c r="G21" s="116"/>
      <c r="H21" s="117"/>
      <c r="I21" s="117"/>
      <c r="J21" s="118"/>
      <c r="K21" s="117"/>
      <c r="L21" s="115"/>
      <c r="M21" s="116"/>
      <c r="N21" s="117"/>
      <c r="O21" s="117"/>
      <c r="P21" s="118"/>
      <c r="Q21" s="117"/>
      <c r="R21" s="116"/>
      <c r="S21" s="117"/>
      <c r="T21" s="117"/>
      <c r="U21" s="117"/>
      <c r="W21" s="119"/>
    </row>
    <row r="22" spans="1:24" s="132" customFormat="1" ht="15.75" thickBot="1" x14ac:dyDescent="0.3">
      <c r="A22" s="138" t="s">
        <v>171</v>
      </c>
      <c r="C22" s="139">
        <f>SUM(C15:C21)</f>
        <v>-42.120634920634942</v>
      </c>
      <c r="D22" s="140">
        <f>SUM(D15:D21)</f>
        <v>611</v>
      </c>
      <c r="E22" s="321"/>
      <c r="F22" s="139">
        <f>SUM(F15:F21)</f>
        <v>53.120634920634942</v>
      </c>
      <c r="G22" s="140">
        <f>SUM(G15:G21)</f>
        <v>653.12063492063498</v>
      </c>
      <c r="H22" s="138">
        <f>SUM(H15:H21)</f>
        <v>544.26719576719574</v>
      </c>
      <c r="I22" s="138">
        <f>SUM(I15:I21)</f>
        <v>599</v>
      </c>
      <c r="J22" s="142">
        <f>SUM(J15:J21)</f>
        <v>-54.732804232804227</v>
      </c>
      <c r="K22" s="141"/>
      <c r="L22" s="139">
        <f>SUM(L15:L21)</f>
        <v>47</v>
      </c>
      <c r="M22" s="140">
        <f>SUM(M15:M21)</f>
        <v>600</v>
      </c>
      <c r="N22" s="138">
        <f>SUM(N15:N21)</f>
        <v>500.00000000000006</v>
      </c>
      <c r="O22" s="138">
        <f>SUM(O15:O21)</f>
        <v>300.11</v>
      </c>
      <c r="P22" s="142">
        <f>SUM(P15:P21)</f>
        <v>199.89000000000004</v>
      </c>
      <c r="Q22" s="141"/>
      <c r="R22" s="140">
        <f>SUM(R15:R21)</f>
        <v>553</v>
      </c>
      <c r="S22" s="138">
        <f>SUM(S15:S21)</f>
        <v>460.83333333333343</v>
      </c>
      <c r="T22" s="138">
        <f>SUM(T15:T21)</f>
        <v>422.84</v>
      </c>
      <c r="U22" s="138">
        <f>SUM(U15:U21)</f>
        <v>37.99333333333341</v>
      </c>
      <c r="W22" s="143"/>
    </row>
    <row r="23" spans="1:24" x14ac:dyDescent="0.25">
      <c r="A23" s="35"/>
      <c r="C23" s="123"/>
      <c r="F23" s="123"/>
      <c r="G23" s="124"/>
      <c r="H23" s="125"/>
      <c r="I23" s="125"/>
      <c r="J23" s="126"/>
      <c r="K23" s="117"/>
      <c r="L23" s="123"/>
      <c r="M23" s="124"/>
      <c r="N23" s="125"/>
      <c r="O23" s="125"/>
      <c r="P23" s="126"/>
      <c r="Q23" s="117"/>
      <c r="R23" s="124"/>
      <c r="S23" s="125"/>
      <c r="T23" s="125"/>
      <c r="U23" s="125"/>
      <c r="W23" s="119"/>
    </row>
    <row r="24" spans="1:24" x14ac:dyDescent="0.25">
      <c r="A24" s="50" t="s">
        <v>91</v>
      </c>
      <c r="C24" s="84">
        <f>D24-G24</f>
        <v>0</v>
      </c>
      <c r="D24" s="331">
        <f>G24</f>
        <v>340</v>
      </c>
      <c r="E24" s="305"/>
      <c r="F24" s="84">
        <f>G24-M24</f>
        <v>0</v>
      </c>
      <c r="G24" s="116">
        <v>340</v>
      </c>
      <c r="H24" s="86">
        <f t="shared" ref="H24" si="20">G24/12*10</f>
        <v>283.33333333333331</v>
      </c>
      <c r="I24" s="343"/>
      <c r="J24" s="86">
        <f t="shared" ref="J24" si="21">H24-I24</f>
        <v>283.33333333333331</v>
      </c>
      <c r="K24" s="117"/>
      <c r="L24" s="79">
        <f>M24-R24</f>
        <v>0</v>
      </c>
      <c r="M24" s="116">
        <v>340</v>
      </c>
      <c r="N24" s="86">
        <f t="shared" ref="N24" si="22">M24/12*10</f>
        <v>283.33333333333331</v>
      </c>
      <c r="O24" s="86">
        <v>0</v>
      </c>
      <c r="P24" s="86">
        <f t="shared" ref="P24" si="23">N24-O24</f>
        <v>283.33333333333331</v>
      </c>
      <c r="Q24" s="117"/>
      <c r="R24" s="116">
        <v>340</v>
      </c>
      <c r="S24" s="117">
        <f t="shared" ref="S24" si="24">SUM(R24/12*10)</f>
        <v>283.33333333333331</v>
      </c>
      <c r="T24" s="117">
        <v>0</v>
      </c>
      <c r="U24" s="117">
        <f t="shared" ref="U24" si="25">S24-T24</f>
        <v>283.33333333333331</v>
      </c>
      <c r="W24" s="119"/>
    </row>
    <row r="25" spans="1:24" x14ac:dyDescent="0.25">
      <c r="A25" s="50"/>
      <c r="C25" s="115"/>
      <c r="F25" s="115"/>
      <c r="G25" s="116"/>
      <c r="H25" s="86"/>
      <c r="I25" s="86"/>
      <c r="J25" s="86"/>
      <c r="K25" s="117"/>
      <c r="L25" s="79"/>
      <c r="M25" s="116"/>
      <c r="N25" s="86"/>
      <c r="O25" s="86"/>
      <c r="P25" s="86"/>
      <c r="Q25" s="117"/>
      <c r="R25" s="116"/>
      <c r="S25" s="117"/>
      <c r="T25" s="117"/>
      <c r="U25" s="117"/>
      <c r="W25" s="119"/>
    </row>
    <row r="26" spans="1:24" s="132" customFormat="1" ht="15.75" thickBot="1" x14ac:dyDescent="0.3">
      <c r="A26" s="138" t="s">
        <v>169</v>
      </c>
      <c r="C26" s="139">
        <f>C13+C22+C24</f>
        <v>-64.660634920634962</v>
      </c>
      <c r="D26" s="140">
        <f>D13+D22+D24</f>
        <v>2669</v>
      </c>
      <c r="E26" s="321"/>
      <c r="F26" s="139">
        <f>F13+F22+F24</f>
        <v>223.66063492063495</v>
      </c>
      <c r="G26" s="140">
        <f>G13+G22+G24</f>
        <v>2733.6606349206349</v>
      </c>
      <c r="H26" s="138">
        <f>H13+H22+H24</f>
        <v>2278.0505291005293</v>
      </c>
      <c r="I26" s="138">
        <f>I13+I22+I24</f>
        <v>2007</v>
      </c>
      <c r="J26" s="138">
        <f>J13+J22+J24</f>
        <v>271.05052910052905</v>
      </c>
      <c r="K26" s="141"/>
      <c r="L26" s="139">
        <f>L13+L22+L24</f>
        <v>-128</v>
      </c>
      <c r="M26" s="140">
        <f>M13+M22+M24</f>
        <v>2510</v>
      </c>
      <c r="N26" s="138">
        <f>N13+N22+N24</f>
        <v>2091.6666666666665</v>
      </c>
      <c r="O26" s="138">
        <f>O13+O22+O24</f>
        <v>1351.98</v>
      </c>
      <c r="P26" s="138">
        <f>P13+P22+P24</f>
        <v>739.68666666666661</v>
      </c>
      <c r="Q26" s="141"/>
      <c r="R26" s="140">
        <f>R13+R22+R24</f>
        <v>2638</v>
      </c>
      <c r="S26" s="138">
        <f>S13+S22+S24</f>
        <v>2198.3333333333335</v>
      </c>
      <c r="T26" s="138">
        <f>T13+T22+T24</f>
        <v>1334.6499999999999</v>
      </c>
      <c r="U26" s="138">
        <f>U13+U22+U24</f>
        <v>863.68333333333362</v>
      </c>
      <c r="W26" s="143"/>
    </row>
    <row r="27" spans="1:24" x14ac:dyDescent="0.25">
      <c r="A27" s="35"/>
      <c r="C27" s="115"/>
      <c r="F27" s="115"/>
      <c r="G27" s="124"/>
      <c r="H27" s="117"/>
      <c r="I27" s="117"/>
      <c r="J27" s="118"/>
      <c r="K27" s="117"/>
      <c r="L27" s="115"/>
      <c r="M27" s="124"/>
      <c r="N27" s="117"/>
      <c r="O27" s="117"/>
      <c r="P27" s="118"/>
      <c r="Q27" s="117"/>
      <c r="R27" s="124"/>
      <c r="S27" s="125"/>
      <c r="T27" s="125"/>
      <c r="U27" s="117"/>
      <c r="W27" s="119"/>
    </row>
    <row r="28" spans="1:24" x14ac:dyDescent="0.25">
      <c r="A28" s="35" t="s">
        <v>99</v>
      </c>
      <c r="C28" s="84">
        <f>D28-G28</f>
        <v>-555</v>
      </c>
      <c r="D28" s="363">
        <f>Reserves!F9</f>
        <v>3145</v>
      </c>
      <c r="E28" s="305"/>
      <c r="F28" s="84">
        <f>G28-M28</f>
        <v>0</v>
      </c>
      <c r="G28" s="116">
        <v>3700</v>
      </c>
      <c r="H28" s="86">
        <f t="shared" ref="H28" si="26">G28/12*10</f>
        <v>3083.333333333333</v>
      </c>
      <c r="I28" s="343"/>
      <c r="J28" s="86">
        <f t="shared" ref="J28" si="27">H28-I28</f>
        <v>3083.333333333333</v>
      </c>
      <c r="K28" s="117"/>
      <c r="L28" s="79">
        <f>M28-R28</f>
        <v>0</v>
      </c>
      <c r="M28" s="116">
        <v>3700</v>
      </c>
      <c r="N28" s="86">
        <f t="shared" ref="N28" si="28">M28/12*10</f>
        <v>3083.333333333333</v>
      </c>
      <c r="O28" s="86">
        <v>0</v>
      </c>
      <c r="P28" s="86">
        <f t="shared" ref="P28" si="29">N28-O28</f>
        <v>3083.333333333333</v>
      </c>
      <c r="Q28" s="117"/>
      <c r="R28" s="116">
        <v>3700</v>
      </c>
      <c r="S28" s="117">
        <f t="shared" ref="S28" si="30">SUM(R28/12*10)</f>
        <v>3083.333333333333</v>
      </c>
      <c r="T28" s="117">
        <v>2775</v>
      </c>
      <c r="U28" s="117">
        <f>S28-T28</f>
        <v>308.33333333333303</v>
      </c>
      <c r="W28" s="127"/>
    </row>
    <row r="29" spans="1:24" x14ac:dyDescent="0.25">
      <c r="A29" s="35"/>
      <c r="C29" s="115"/>
      <c r="F29" s="115"/>
      <c r="G29" s="116"/>
      <c r="H29" s="86"/>
      <c r="I29" s="86"/>
      <c r="J29" s="86"/>
      <c r="K29" s="117"/>
      <c r="L29" s="79"/>
      <c r="M29" s="116"/>
      <c r="N29" s="86"/>
      <c r="O29" s="86"/>
      <c r="P29" s="86"/>
      <c r="Q29" s="117"/>
      <c r="R29" s="116"/>
      <c r="S29" s="117"/>
      <c r="T29" s="117"/>
      <c r="U29" s="117"/>
      <c r="W29" s="127"/>
    </row>
    <row r="30" spans="1:24" s="132" customFormat="1" ht="15.75" thickBot="1" x14ac:dyDescent="0.3">
      <c r="A30" s="138" t="s">
        <v>1</v>
      </c>
      <c r="C30" s="128">
        <f t="shared" ref="C30" si="31">SUM(C26:C29)</f>
        <v>-619.66063492063495</v>
      </c>
      <c r="D30" s="129">
        <f t="shared" ref="D30" si="32">SUM(D26:D29)</f>
        <v>5814</v>
      </c>
      <c r="E30" s="322"/>
      <c r="F30" s="128">
        <f>SUM(F26:F29)</f>
        <v>223.66063492063495</v>
      </c>
      <c r="G30" s="129">
        <f>SUM(G26:G29)</f>
        <v>6433.6606349206349</v>
      </c>
      <c r="H30" s="130">
        <f t="shared" ref="H30:J30" si="33">SUM(H26:H29)</f>
        <v>5361.3838624338623</v>
      </c>
      <c r="I30" s="130">
        <f t="shared" si="33"/>
        <v>2007</v>
      </c>
      <c r="J30" s="130">
        <f t="shared" si="33"/>
        <v>3354.3838624338623</v>
      </c>
      <c r="K30" s="141"/>
      <c r="L30" s="128">
        <f t="shared" ref="L30:P30" si="34">SUM(L26:L29)</f>
        <v>-128</v>
      </c>
      <c r="M30" s="129">
        <f t="shared" si="34"/>
        <v>6210</v>
      </c>
      <c r="N30" s="130">
        <f t="shared" si="34"/>
        <v>5175</v>
      </c>
      <c r="O30" s="130">
        <f t="shared" si="34"/>
        <v>1351.98</v>
      </c>
      <c r="P30" s="130">
        <f t="shared" si="34"/>
        <v>3823.0199999999995</v>
      </c>
      <c r="Q30" s="141"/>
      <c r="R30" s="129">
        <f>SUM(R26:R29)</f>
        <v>6338</v>
      </c>
      <c r="S30" s="130">
        <f t="shared" ref="S30:U30" si="35">SUM(S26:S29)</f>
        <v>5281.6666666666661</v>
      </c>
      <c r="T30" s="130">
        <f t="shared" si="35"/>
        <v>4109.6499999999996</v>
      </c>
      <c r="U30" s="130">
        <f t="shared" si="35"/>
        <v>1172.0166666666667</v>
      </c>
      <c r="W30" s="158">
        <f>SUM(B30:V30)</f>
        <v>55907.761693121691</v>
      </c>
      <c r="X30" s="159" t="s">
        <v>174</v>
      </c>
    </row>
    <row r="31" spans="1:24" x14ac:dyDescent="0.25">
      <c r="F31" s="32"/>
      <c r="G31" s="32"/>
    </row>
    <row r="32" spans="1:24" x14ac:dyDescent="0.25">
      <c r="A32" s="5" t="s">
        <v>166</v>
      </c>
      <c r="B32" s="5"/>
      <c r="C32" s="100">
        <f>Summary!$C$25</f>
        <v>1.7000000000000001E-2</v>
      </c>
      <c r="D32" s="306"/>
      <c r="E32" s="306"/>
      <c r="F32" s="306"/>
      <c r="G32" s="306"/>
      <c r="H32" s="306"/>
    </row>
    <row r="34" spans="1:7" ht="18.75" x14ac:dyDescent="0.25">
      <c r="A34" s="351" t="s">
        <v>267</v>
      </c>
      <c r="B34" s="352"/>
      <c r="C34" s="353" t="s">
        <v>236</v>
      </c>
      <c r="D34" s="354" t="s">
        <v>237</v>
      </c>
      <c r="F34" s="356" t="s">
        <v>268</v>
      </c>
      <c r="G34" s="356"/>
    </row>
    <row r="35" spans="1:7" x14ac:dyDescent="0.25">
      <c r="A35" s="236" t="s">
        <v>297</v>
      </c>
      <c r="B35" s="237"/>
      <c r="C35" s="239">
        <v>4994</v>
      </c>
      <c r="D35" s="239"/>
      <c r="F35" s="34" t="s">
        <v>307</v>
      </c>
    </row>
    <row r="36" spans="1:7" x14ac:dyDescent="0.25">
      <c r="A36" s="192"/>
      <c r="B36" s="237"/>
      <c r="C36" s="239"/>
      <c r="D36" s="239"/>
    </row>
    <row r="37" spans="1:7" x14ac:dyDescent="0.25">
      <c r="A37" s="192"/>
      <c r="B37" s="237"/>
      <c r="C37" s="238"/>
      <c r="D37" s="239"/>
    </row>
    <row r="38" spans="1:7" x14ac:dyDescent="0.25">
      <c r="A38" s="192"/>
      <c r="B38" s="237"/>
      <c r="C38" s="238"/>
      <c r="D38" s="239"/>
    </row>
    <row r="39" spans="1:7" x14ac:dyDescent="0.25">
      <c r="A39" s="194"/>
      <c r="B39" s="193"/>
      <c r="C39" s="191"/>
      <c r="D39" s="191"/>
    </row>
    <row r="40" spans="1:7" x14ac:dyDescent="0.25">
      <c r="A40" s="194"/>
      <c r="B40" s="193"/>
      <c r="C40" s="191"/>
      <c r="D40" s="191"/>
    </row>
    <row r="41" spans="1:7" x14ac:dyDescent="0.25">
      <c r="A41" s="194"/>
      <c r="B41" s="193"/>
      <c r="C41" s="191"/>
      <c r="D41" s="191"/>
    </row>
    <row r="42" spans="1:7" x14ac:dyDescent="0.25">
      <c r="A42" s="194"/>
      <c r="B42" s="193"/>
      <c r="C42" s="191"/>
      <c r="D42" s="191"/>
    </row>
    <row r="43" spans="1:7" x14ac:dyDescent="0.25">
      <c r="A43" s="194"/>
      <c r="B43" s="193"/>
      <c r="C43" s="191"/>
      <c r="D43" s="191"/>
    </row>
    <row r="44" spans="1:7" x14ac:dyDescent="0.25">
      <c r="A44" s="221"/>
      <c r="B44" s="237"/>
      <c r="C44" s="238"/>
      <c r="D44" s="238"/>
    </row>
    <row r="45" spans="1:7" x14ac:dyDescent="0.25">
      <c r="A45" s="240" t="s">
        <v>201</v>
      </c>
      <c r="B45" s="241"/>
      <c r="C45" s="242">
        <f>SUM(C35:C44)</f>
        <v>4994</v>
      </c>
      <c r="D45" s="242">
        <f>SUM(D35:D44)</f>
        <v>0</v>
      </c>
    </row>
    <row r="46" spans="1:7" x14ac:dyDescent="0.25">
      <c r="A46" s="295"/>
      <c r="B46" s="226"/>
      <c r="C46" s="226"/>
      <c r="D46" s="303"/>
    </row>
    <row r="47" spans="1:7" ht="30" customHeight="1" x14ac:dyDescent="0.25">
      <c r="A47" s="414"/>
      <c r="B47" s="415"/>
      <c r="C47" s="415"/>
      <c r="D47" s="415"/>
      <c r="E47" s="425"/>
      <c r="F47" s="425"/>
    </row>
    <row r="48" spans="1:7" ht="30" customHeight="1" x14ac:dyDescent="0.25">
      <c r="A48" s="414"/>
      <c r="B48" s="415"/>
      <c r="C48" s="415"/>
      <c r="D48" s="415"/>
      <c r="E48" s="425"/>
      <c r="F48" s="425"/>
    </row>
    <row r="49" spans="1:6" ht="30" customHeight="1" x14ac:dyDescent="0.25">
      <c r="A49" s="414"/>
      <c r="B49" s="415"/>
      <c r="C49" s="415"/>
      <c r="D49" s="415"/>
      <c r="E49" s="425"/>
      <c r="F49" s="425"/>
    </row>
  </sheetData>
  <mergeCells count="17">
    <mergeCell ref="G4:H4"/>
    <mergeCell ref="H5:J5"/>
    <mergeCell ref="F3:J3"/>
    <mergeCell ref="R3:U3"/>
    <mergeCell ref="F4:F5"/>
    <mergeCell ref="L4:L5"/>
    <mergeCell ref="M4:N4"/>
    <mergeCell ref="R4:S4"/>
    <mergeCell ref="N5:P5"/>
    <mergeCell ref="S5:U5"/>
    <mergeCell ref="L3:P3"/>
    <mergeCell ref="A47:F47"/>
    <mergeCell ref="A48:F48"/>
    <mergeCell ref="A49:F49"/>
    <mergeCell ref="C3:D3"/>
    <mergeCell ref="C4:C5"/>
    <mergeCell ref="D4:D5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80" orientation="landscape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X49"/>
  <sheetViews>
    <sheetView showGridLines="0" zoomScale="80" zoomScaleNormal="80" workbookViewId="0">
      <pane ySplit="5" topLeftCell="A44" activePane="bottomLeft" state="frozen"/>
      <selection pane="bottomLeft" activeCell="B56" sqref="B56"/>
    </sheetView>
  </sheetViews>
  <sheetFormatPr defaultColWidth="9.140625" defaultRowHeight="15" x14ac:dyDescent="0.25"/>
  <cols>
    <col min="1" max="1" width="40.7109375" style="32" customWidth="1"/>
    <col min="2" max="2" width="2.7109375" style="32" customWidth="1"/>
    <col min="3" max="3" width="11.7109375" style="32" customWidth="1"/>
    <col min="4" max="4" width="11.7109375" style="34" customWidth="1"/>
    <col min="5" max="5" width="2.7109375" style="34" customWidth="1"/>
    <col min="6" max="8" width="11.7109375" style="34" customWidth="1"/>
    <col min="9" max="10" width="11.7109375" style="32" customWidth="1"/>
    <col min="11" max="11" width="2.7109375" style="32" customWidth="1"/>
    <col min="12" max="16" width="11.7109375" style="32" customWidth="1"/>
    <col min="17" max="17" width="2.7109375" style="32" customWidth="1"/>
    <col min="18" max="21" width="11.7109375" style="32" customWidth="1"/>
    <col min="22" max="22" width="2.7109375" style="32" customWidth="1"/>
    <col min="23" max="16384" width="9.140625" style="32"/>
  </cols>
  <sheetData>
    <row r="1" spans="1:24" ht="21" x14ac:dyDescent="0.35">
      <c r="A1" s="27" t="s">
        <v>126</v>
      </c>
      <c r="B1" s="2"/>
      <c r="C1" s="2"/>
      <c r="D1" s="312"/>
      <c r="E1" s="312"/>
      <c r="F1" s="312"/>
      <c r="G1" s="312"/>
      <c r="H1" s="312"/>
      <c r="I1" s="2"/>
      <c r="J1" s="2"/>
      <c r="K1" s="2"/>
      <c r="L1" s="2"/>
      <c r="M1" s="257" t="s">
        <v>242</v>
      </c>
      <c r="N1" s="2"/>
      <c r="O1" s="195">
        <v>7</v>
      </c>
      <c r="P1" s="2"/>
      <c r="Q1" s="2"/>
      <c r="R1" s="2"/>
      <c r="S1" s="1"/>
      <c r="T1" s="1"/>
      <c r="U1" s="1"/>
      <c r="V1" s="1"/>
    </row>
    <row r="2" spans="1:24" x14ac:dyDescent="0.25">
      <c r="B2" s="55"/>
      <c r="C2" s="55"/>
      <c r="D2" s="302"/>
      <c r="E2" s="302"/>
      <c r="F2" s="302"/>
      <c r="G2" s="302"/>
      <c r="H2" s="302"/>
      <c r="I2" s="55"/>
      <c r="J2" s="55"/>
      <c r="K2" s="55"/>
      <c r="L2" s="55"/>
      <c r="M2" s="54"/>
      <c r="N2" s="295"/>
      <c r="O2" s="295"/>
      <c r="P2" s="295"/>
      <c r="Q2" s="295"/>
      <c r="R2" s="295"/>
      <c r="S2" s="295"/>
      <c r="T2" s="295"/>
      <c r="U2" s="295"/>
      <c r="V2" s="295"/>
      <c r="W2" s="295"/>
    </row>
    <row r="3" spans="1:24" s="132" customFormat="1" ht="21" x14ac:dyDescent="0.25">
      <c r="A3" s="56" t="s">
        <v>246</v>
      </c>
      <c r="B3" s="334"/>
      <c r="C3" s="403">
        <v>2020</v>
      </c>
      <c r="D3" s="404"/>
      <c r="E3" s="335"/>
      <c r="F3" s="403">
        <v>2019</v>
      </c>
      <c r="G3" s="405"/>
      <c r="H3" s="423"/>
      <c r="I3" s="423"/>
      <c r="J3" s="424"/>
      <c r="K3" s="335"/>
      <c r="L3" s="403">
        <v>2018</v>
      </c>
      <c r="M3" s="423"/>
      <c r="N3" s="423"/>
      <c r="O3" s="423"/>
      <c r="P3" s="424"/>
      <c r="Q3" s="334"/>
      <c r="R3" s="403">
        <v>2017</v>
      </c>
      <c r="S3" s="405"/>
      <c r="T3" s="405"/>
      <c r="U3" s="404"/>
      <c r="V3" s="335"/>
      <c r="W3" s="25" t="s">
        <v>98</v>
      </c>
    </row>
    <row r="4" spans="1:24" x14ac:dyDescent="0.25">
      <c r="A4" s="23"/>
      <c r="B4" s="23"/>
      <c r="C4" s="420" t="s">
        <v>261</v>
      </c>
      <c r="D4" s="401" t="s">
        <v>44</v>
      </c>
      <c r="E4" s="290"/>
      <c r="F4" s="420" t="s">
        <v>165</v>
      </c>
      <c r="G4" s="419" t="s">
        <v>163</v>
      </c>
      <c r="H4" s="419"/>
      <c r="I4" s="292" t="s">
        <v>118</v>
      </c>
      <c r="J4" s="292" t="s">
        <v>97</v>
      </c>
      <c r="K4" s="292"/>
      <c r="L4" s="420" t="s">
        <v>164</v>
      </c>
      <c r="M4" s="409" t="s">
        <v>163</v>
      </c>
      <c r="N4" s="409"/>
      <c r="O4" s="24" t="s">
        <v>118</v>
      </c>
      <c r="P4" s="24" t="s">
        <v>97</v>
      </c>
      <c r="Q4" s="23"/>
      <c r="R4" s="409" t="s">
        <v>163</v>
      </c>
      <c r="S4" s="422"/>
      <c r="T4" s="24" t="s">
        <v>118</v>
      </c>
      <c r="U4" s="24" t="s">
        <v>97</v>
      </c>
      <c r="V4" s="24"/>
      <c r="W4" s="25"/>
    </row>
    <row r="5" spans="1:24" x14ac:dyDescent="0.25">
      <c r="A5" s="23"/>
      <c r="B5" s="23"/>
      <c r="C5" s="431"/>
      <c r="D5" s="402"/>
      <c r="E5" s="291"/>
      <c r="F5" s="431"/>
      <c r="G5" s="26" t="s">
        <v>161</v>
      </c>
      <c r="H5" s="409" t="s">
        <v>162</v>
      </c>
      <c r="I5" s="408"/>
      <c r="J5" s="408"/>
      <c r="K5" s="293"/>
      <c r="L5" s="421"/>
      <c r="M5" s="26" t="s">
        <v>161</v>
      </c>
      <c r="N5" s="409" t="s">
        <v>162</v>
      </c>
      <c r="O5" s="408"/>
      <c r="P5" s="408"/>
      <c r="Q5" s="23"/>
      <c r="R5" s="26" t="s">
        <v>161</v>
      </c>
      <c r="S5" s="409" t="s">
        <v>162</v>
      </c>
      <c r="T5" s="408"/>
      <c r="U5" s="408"/>
      <c r="V5" s="24"/>
      <c r="W5" s="25"/>
    </row>
    <row r="6" spans="1:24" x14ac:dyDescent="0.25">
      <c r="A6" s="23"/>
      <c r="B6" s="23"/>
      <c r="C6" s="348"/>
      <c r="D6" s="291"/>
      <c r="E6" s="291"/>
      <c r="F6" s="348"/>
      <c r="G6" s="26"/>
      <c r="H6" s="294"/>
      <c r="I6" s="293"/>
      <c r="J6" s="293"/>
      <c r="K6" s="293"/>
      <c r="L6" s="349"/>
      <c r="M6" s="26"/>
      <c r="N6" s="294"/>
      <c r="O6" s="293"/>
      <c r="P6" s="293"/>
      <c r="Q6" s="23"/>
      <c r="R6" s="26"/>
      <c r="S6" s="294"/>
      <c r="T6" s="293"/>
      <c r="U6" s="293"/>
      <c r="V6" s="292"/>
      <c r="W6" s="25"/>
    </row>
    <row r="7" spans="1:24" x14ac:dyDescent="0.25">
      <c r="A7" s="78" t="s">
        <v>20</v>
      </c>
      <c r="B7" s="78"/>
      <c r="C7" s="78"/>
      <c r="D7" s="307"/>
      <c r="E7" s="307"/>
      <c r="F7" s="79"/>
      <c r="G7" s="80"/>
      <c r="H7" s="307"/>
      <c r="J7" s="81"/>
      <c r="K7" s="81"/>
      <c r="L7" s="79"/>
      <c r="M7" s="80"/>
      <c r="N7" s="81"/>
      <c r="O7" s="81"/>
      <c r="P7" s="81"/>
      <c r="Q7" s="81"/>
      <c r="R7" s="80"/>
      <c r="S7" s="81"/>
      <c r="T7" s="81"/>
      <c r="U7" s="81"/>
      <c r="V7" s="5"/>
      <c r="W7" s="5"/>
    </row>
    <row r="8" spans="1:24" x14ac:dyDescent="0.25">
      <c r="A8" s="83" t="s">
        <v>21</v>
      </c>
      <c r="B8" s="83"/>
      <c r="C8" s="84">
        <f>D8-G8</f>
        <v>144</v>
      </c>
      <c r="D8" s="329">
        <v>832</v>
      </c>
      <c r="E8" s="308"/>
      <c r="F8" s="84">
        <f>G8-M8</f>
        <v>38</v>
      </c>
      <c r="G8" s="85">
        <v>688</v>
      </c>
      <c r="H8" s="86">
        <f>G8/12*10</f>
        <v>573.33333333333337</v>
      </c>
      <c r="I8" s="345">
        <v>673</v>
      </c>
      <c r="J8" s="86">
        <f>H8-I8</f>
        <v>-99.666666666666629</v>
      </c>
      <c r="K8" s="81"/>
      <c r="L8" s="79">
        <f>M8-R8</f>
        <v>100</v>
      </c>
      <c r="M8" s="85">
        <v>650</v>
      </c>
      <c r="N8" s="86">
        <f>M8/12*10</f>
        <v>541.66666666666663</v>
      </c>
      <c r="O8" s="117">
        <v>650</v>
      </c>
      <c r="P8" s="86">
        <f>N8-O8</f>
        <v>-108.33333333333337</v>
      </c>
      <c r="Q8" s="81"/>
      <c r="R8" s="116">
        <v>550</v>
      </c>
      <c r="S8" s="86">
        <f>R8/12*10</f>
        <v>458.33333333333337</v>
      </c>
      <c r="T8" s="117">
        <v>463.95</v>
      </c>
      <c r="U8" s="81">
        <f>S8-T8</f>
        <v>-5.6166666666666174</v>
      </c>
      <c r="V8" s="13"/>
      <c r="W8" s="75"/>
    </row>
    <row r="9" spans="1:24" x14ac:dyDescent="0.25">
      <c r="A9" s="83" t="s">
        <v>14</v>
      </c>
      <c r="B9" s="83" t="s">
        <v>167</v>
      </c>
      <c r="C9" s="84">
        <f>D9-G9</f>
        <v>-1.5300000000000011</v>
      </c>
      <c r="D9" s="329">
        <v>90</v>
      </c>
      <c r="E9" s="308"/>
      <c r="F9" s="84">
        <f>G9-M9</f>
        <v>1.5300000000000011</v>
      </c>
      <c r="G9" s="85">
        <f>M9+(M9*$C$32)</f>
        <v>91.53</v>
      </c>
      <c r="H9" s="86">
        <f>G9/12*10</f>
        <v>76.275000000000006</v>
      </c>
      <c r="I9" s="345">
        <v>75</v>
      </c>
      <c r="J9" s="86">
        <f>H9-I9</f>
        <v>1.2750000000000057</v>
      </c>
      <c r="K9" s="81"/>
      <c r="L9" s="79">
        <f t="shared" ref="L9:L10" si="0">M9-R9</f>
        <v>0</v>
      </c>
      <c r="M9" s="85">
        <v>90</v>
      </c>
      <c r="N9" s="86">
        <f>M9/12*10</f>
        <v>75</v>
      </c>
      <c r="O9" s="117">
        <v>90</v>
      </c>
      <c r="P9" s="86">
        <f>N9-O9</f>
        <v>-15</v>
      </c>
      <c r="Q9" s="81"/>
      <c r="R9" s="116">
        <v>90</v>
      </c>
      <c r="S9" s="86">
        <f>R9/12*10</f>
        <v>75</v>
      </c>
      <c r="T9" s="117">
        <v>75</v>
      </c>
      <c r="U9" s="81">
        <f>S9-T9</f>
        <v>0</v>
      </c>
      <c r="V9" s="13"/>
      <c r="W9" s="75"/>
      <c r="X9" s="19"/>
    </row>
    <row r="10" spans="1:24" x14ac:dyDescent="0.25">
      <c r="A10" s="83" t="s">
        <v>15</v>
      </c>
      <c r="B10" s="83" t="s">
        <v>167</v>
      </c>
      <c r="C10" s="84">
        <f>D10-G10</f>
        <v>42.199999999999989</v>
      </c>
      <c r="D10" s="329">
        <v>449</v>
      </c>
      <c r="E10" s="308"/>
      <c r="F10" s="84">
        <f>G10-M10</f>
        <v>6.8000000000000114</v>
      </c>
      <c r="G10" s="85">
        <f>M10+(M10*$C$32)</f>
        <v>406.8</v>
      </c>
      <c r="H10" s="86">
        <f>G10/12*10</f>
        <v>339</v>
      </c>
      <c r="I10" s="345">
        <v>374</v>
      </c>
      <c r="J10" s="86">
        <f>H10-I10</f>
        <v>-35</v>
      </c>
      <c r="K10" s="81"/>
      <c r="L10" s="79">
        <f t="shared" si="0"/>
        <v>0</v>
      </c>
      <c r="M10" s="85">
        <v>400</v>
      </c>
      <c r="N10" s="86">
        <f>M10/12*10</f>
        <v>333.33333333333337</v>
      </c>
      <c r="O10" s="117">
        <v>400</v>
      </c>
      <c r="P10" s="86">
        <f>N10-O10</f>
        <v>-66.666666666666629</v>
      </c>
      <c r="Q10" s="81"/>
      <c r="R10" s="116">
        <v>400</v>
      </c>
      <c r="S10" s="86">
        <f>R10/12*10</f>
        <v>333.33333333333337</v>
      </c>
      <c r="T10" s="117">
        <v>217.82</v>
      </c>
      <c r="U10" s="81">
        <f>S10-T10</f>
        <v>115.51333333333338</v>
      </c>
      <c r="V10" s="13"/>
      <c r="W10" s="75"/>
    </row>
    <row r="11" spans="1:24" x14ac:dyDescent="0.25">
      <c r="A11" s="83" t="s">
        <v>155</v>
      </c>
      <c r="B11" s="83"/>
      <c r="C11" s="84">
        <f>D11-G11</f>
        <v>0</v>
      </c>
      <c r="D11" s="329">
        <v>168</v>
      </c>
      <c r="E11" s="308"/>
      <c r="F11" s="84">
        <f>G11-M11</f>
        <v>168</v>
      </c>
      <c r="G11" s="85">
        <f>140*1.2</f>
        <v>168</v>
      </c>
      <c r="H11" s="86">
        <f>G11/12*10</f>
        <v>140</v>
      </c>
      <c r="I11" s="343">
        <v>168</v>
      </c>
      <c r="J11" s="86">
        <f>H11-I11</f>
        <v>-28</v>
      </c>
      <c r="K11" s="81"/>
      <c r="L11" s="79">
        <f>M11-R11</f>
        <v>0</v>
      </c>
      <c r="M11" s="85">
        <v>0</v>
      </c>
      <c r="N11" s="86">
        <f>M11/12*10</f>
        <v>0</v>
      </c>
      <c r="O11" s="86">
        <v>0</v>
      </c>
      <c r="P11" s="86">
        <f>N11-O11</f>
        <v>0</v>
      </c>
      <c r="Q11" s="81"/>
      <c r="R11" s="80">
        <v>0</v>
      </c>
      <c r="S11" s="86">
        <f>R11/12*10</f>
        <v>0</v>
      </c>
      <c r="T11" s="81">
        <v>0</v>
      </c>
      <c r="U11" s="81">
        <f>S11-T11</f>
        <v>0</v>
      </c>
      <c r="V11" s="13"/>
      <c r="W11" s="75"/>
      <c r="X11" s="19"/>
    </row>
    <row r="12" spans="1:24" x14ac:dyDescent="0.25">
      <c r="A12" s="83"/>
      <c r="B12" s="83"/>
      <c r="C12" s="84"/>
      <c r="D12" s="308"/>
      <c r="E12" s="308"/>
      <c r="F12" s="84"/>
      <c r="G12" s="85"/>
      <c r="H12" s="86"/>
      <c r="I12" s="86"/>
      <c r="J12" s="86"/>
      <c r="K12" s="81"/>
      <c r="L12" s="79"/>
      <c r="M12" s="85"/>
      <c r="N12" s="86"/>
      <c r="O12" s="86"/>
      <c r="P12" s="86"/>
      <c r="Q12" s="81"/>
      <c r="R12" s="80"/>
      <c r="S12" s="81"/>
      <c r="T12" s="81"/>
      <c r="U12" s="81"/>
      <c r="V12" s="13"/>
      <c r="W12" s="75"/>
    </row>
    <row r="13" spans="1:24" s="132" customFormat="1" ht="15.75" thickBot="1" x14ac:dyDescent="0.3">
      <c r="A13" s="138" t="s">
        <v>170</v>
      </c>
      <c r="B13" s="78"/>
      <c r="C13" s="88">
        <f>SUM(C7:C12)</f>
        <v>184.67</v>
      </c>
      <c r="D13" s="89">
        <f>SUM(D7:D12)</f>
        <v>1539</v>
      </c>
      <c r="E13" s="103"/>
      <c r="F13" s="88">
        <f>SUM(F7:F12)</f>
        <v>214.33</v>
      </c>
      <c r="G13" s="89">
        <f>SUM(G7:G12)</f>
        <v>1354.33</v>
      </c>
      <c r="H13" s="91">
        <f t="shared" ref="H13:J13" si="1">SUM(H7:H12)</f>
        <v>1128.6083333333333</v>
      </c>
      <c r="I13" s="91">
        <f t="shared" si="1"/>
        <v>1290</v>
      </c>
      <c r="J13" s="91">
        <f t="shared" si="1"/>
        <v>-161.39166666666662</v>
      </c>
      <c r="K13" s="90"/>
      <c r="L13" s="88">
        <f t="shared" ref="L13:P13" si="2">SUM(L7:L12)</f>
        <v>100</v>
      </c>
      <c r="M13" s="89">
        <f t="shared" si="2"/>
        <v>1140</v>
      </c>
      <c r="N13" s="91">
        <f t="shared" si="2"/>
        <v>950</v>
      </c>
      <c r="O13" s="91">
        <f t="shared" si="2"/>
        <v>1140</v>
      </c>
      <c r="P13" s="91">
        <f t="shared" si="2"/>
        <v>-190</v>
      </c>
      <c r="Q13" s="90"/>
      <c r="R13" s="92">
        <f t="shared" ref="R13:U13" si="3">SUM(R7:R12)</f>
        <v>1040</v>
      </c>
      <c r="S13" s="91">
        <f t="shared" si="3"/>
        <v>866.66666666666674</v>
      </c>
      <c r="T13" s="91">
        <f t="shared" si="3"/>
        <v>756.77</v>
      </c>
      <c r="U13" s="91">
        <f t="shared" si="3"/>
        <v>109.89666666666676</v>
      </c>
      <c r="V13" s="15"/>
      <c r="W13" s="93"/>
    </row>
    <row r="14" spans="1:24" x14ac:dyDescent="0.25">
      <c r="A14" s="78"/>
      <c r="B14" s="78"/>
      <c r="C14" s="102"/>
      <c r="D14" s="307"/>
      <c r="E14" s="307"/>
      <c r="F14" s="102"/>
      <c r="G14" s="103"/>
      <c r="H14" s="105"/>
      <c r="I14" s="105"/>
      <c r="J14" s="105"/>
      <c r="K14" s="90"/>
      <c r="L14" s="102"/>
      <c r="M14" s="103"/>
      <c r="N14" s="105"/>
      <c r="O14" s="105"/>
      <c r="P14" s="105"/>
      <c r="Q14" s="90"/>
      <c r="R14" s="131"/>
      <c r="S14" s="105"/>
      <c r="T14" s="105"/>
      <c r="U14" s="105"/>
      <c r="V14" s="15"/>
      <c r="W14" s="75"/>
    </row>
    <row r="15" spans="1:24" x14ac:dyDescent="0.25">
      <c r="A15" s="49" t="s">
        <v>23</v>
      </c>
      <c r="C15" s="115"/>
      <c r="F15" s="115"/>
      <c r="G15" s="116"/>
      <c r="H15" s="117"/>
      <c r="I15" s="117"/>
      <c r="J15" s="117"/>
      <c r="K15" s="117"/>
      <c r="L15" s="115"/>
      <c r="M15" s="116"/>
      <c r="N15" s="117"/>
      <c r="O15" s="117"/>
      <c r="P15" s="117"/>
      <c r="Q15" s="117"/>
      <c r="R15" s="116"/>
      <c r="S15" s="117"/>
      <c r="T15" s="117"/>
      <c r="U15" s="117"/>
      <c r="W15" s="75"/>
    </row>
    <row r="16" spans="1:24" x14ac:dyDescent="0.25">
      <c r="A16" s="50" t="s">
        <v>11</v>
      </c>
      <c r="B16" s="32" t="s">
        <v>167</v>
      </c>
      <c r="C16" s="84">
        <f t="shared" ref="C16:C20" si="4">D16-G16</f>
        <v>-105.10000000000002</v>
      </c>
      <c r="D16" s="329">
        <v>200</v>
      </c>
      <c r="E16" s="308"/>
      <c r="F16" s="84">
        <f t="shared" ref="F16:F20" si="5">G16-M16</f>
        <v>5.1000000000000227</v>
      </c>
      <c r="G16" s="85">
        <f>M16+(M16*$C$32)</f>
        <v>305.10000000000002</v>
      </c>
      <c r="H16" s="86">
        <f>G16/12*10</f>
        <v>254.25</v>
      </c>
      <c r="I16" s="345">
        <v>35</v>
      </c>
      <c r="J16" s="86">
        <f>H16-I16</f>
        <v>219.25</v>
      </c>
      <c r="K16" s="117"/>
      <c r="L16" s="79">
        <f t="shared" ref="L16:L20" si="6">M16-R16</f>
        <v>-100</v>
      </c>
      <c r="M16" s="116">
        <v>300</v>
      </c>
      <c r="N16" s="86">
        <f>M16/12*10</f>
        <v>250</v>
      </c>
      <c r="O16" s="117">
        <v>6.09</v>
      </c>
      <c r="P16" s="86">
        <f>N16-O16</f>
        <v>243.91</v>
      </c>
      <c r="Q16" s="117"/>
      <c r="R16" s="116">
        <v>400</v>
      </c>
      <c r="S16" s="86">
        <f t="shared" ref="S16:S20" si="7">R16/12*10</f>
        <v>333.33333333333337</v>
      </c>
      <c r="T16" s="117">
        <v>90</v>
      </c>
      <c r="U16" s="81">
        <f t="shared" ref="U16:U20" si="8">S16-T16</f>
        <v>243.33333333333337</v>
      </c>
      <c r="W16" s="165"/>
    </row>
    <row r="17" spans="1:24" x14ac:dyDescent="0.25">
      <c r="A17" s="50" t="s">
        <v>16</v>
      </c>
      <c r="B17" s="83" t="s">
        <v>167</v>
      </c>
      <c r="C17" s="84">
        <f t="shared" si="4"/>
        <v>-0.85000000000000142</v>
      </c>
      <c r="D17" s="329">
        <v>50</v>
      </c>
      <c r="E17" s="308"/>
      <c r="F17" s="84">
        <f t="shared" si="5"/>
        <v>0.85000000000000142</v>
      </c>
      <c r="G17" s="85">
        <f>M17+(M17*$C$32)</f>
        <v>50.85</v>
      </c>
      <c r="H17" s="86">
        <f t="shared" ref="H17:H20" si="9">G17/12*10</f>
        <v>42.375</v>
      </c>
      <c r="I17" s="345">
        <v>0</v>
      </c>
      <c r="J17" s="86">
        <f t="shared" ref="J17:J20" si="10">H17-I17</f>
        <v>42.375</v>
      </c>
      <c r="K17" s="117"/>
      <c r="L17" s="79">
        <f t="shared" si="6"/>
        <v>0</v>
      </c>
      <c r="M17" s="116">
        <v>50</v>
      </c>
      <c r="N17" s="86">
        <f t="shared" ref="N17:N20" si="11">M17/12*10</f>
        <v>41.666666666666671</v>
      </c>
      <c r="O17" s="117">
        <v>0</v>
      </c>
      <c r="P17" s="86">
        <f t="shared" ref="P17:P20" si="12">N17-O17</f>
        <v>41.666666666666671</v>
      </c>
      <c r="Q17" s="117"/>
      <c r="R17" s="116">
        <v>50</v>
      </c>
      <c r="S17" s="86">
        <f t="shared" si="7"/>
        <v>41.666666666666671</v>
      </c>
      <c r="T17" s="117">
        <v>0</v>
      </c>
      <c r="U17" s="81">
        <f t="shared" si="8"/>
        <v>41.666666666666671</v>
      </c>
      <c r="W17" s="75"/>
    </row>
    <row r="18" spans="1:24" x14ac:dyDescent="0.25">
      <c r="A18" s="50" t="s">
        <v>12</v>
      </c>
      <c r="B18" s="83" t="s">
        <v>167</v>
      </c>
      <c r="C18" s="84">
        <f t="shared" si="4"/>
        <v>-0.85000000000000142</v>
      </c>
      <c r="D18" s="329">
        <v>50</v>
      </c>
      <c r="E18" s="308"/>
      <c r="F18" s="84">
        <f t="shared" si="5"/>
        <v>0.85000000000000142</v>
      </c>
      <c r="G18" s="85">
        <f>M18+(M18*$C$32)</f>
        <v>50.85</v>
      </c>
      <c r="H18" s="86">
        <f t="shared" si="9"/>
        <v>42.375</v>
      </c>
      <c r="I18" s="345">
        <v>50</v>
      </c>
      <c r="J18" s="86">
        <f t="shared" si="10"/>
        <v>-7.625</v>
      </c>
      <c r="K18" s="117"/>
      <c r="L18" s="79">
        <f t="shared" si="6"/>
        <v>-3</v>
      </c>
      <c r="M18" s="116">
        <v>50</v>
      </c>
      <c r="N18" s="86">
        <f t="shared" si="11"/>
        <v>41.666666666666671</v>
      </c>
      <c r="O18" s="117">
        <v>45</v>
      </c>
      <c r="P18" s="86">
        <f t="shared" si="12"/>
        <v>-3.3333333333333286</v>
      </c>
      <c r="Q18" s="117"/>
      <c r="R18" s="116">
        <v>53</v>
      </c>
      <c r="S18" s="86">
        <f t="shared" si="7"/>
        <v>44.166666666666671</v>
      </c>
      <c r="T18" s="117">
        <v>45</v>
      </c>
      <c r="U18" s="81">
        <f t="shared" si="8"/>
        <v>-0.8333333333333286</v>
      </c>
      <c r="W18" s="75"/>
    </row>
    <row r="19" spans="1:24" x14ac:dyDescent="0.25">
      <c r="A19" s="50" t="s">
        <v>172</v>
      </c>
      <c r="B19" s="83" t="s">
        <v>167</v>
      </c>
      <c r="C19" s="84">
        <f t="shared" si="4"/>
        <v>48.3</v>
      </c>
      <c r="D19" s="329">
        <v>150</v>
      </c>
      <c r="E19" s="308"/>
      <c r="F19" s="84">
        <f t="shared" si="5"/>
        <v>1.7000000000000028</v>
      </c>
      <c r="G19" s="85">
        <f>M19+(M19*$C$32)</f>
        <v>101.7</v>
      </c>
      <c r="H19" s="86">
        <f t="shared" si="9"/>
        <v>84.75</v>
      </c>
      <c r="I19" s="345">
        <v>149</v>
      </c>
      <c r="J19" s="86">
        <f t="shared" si="10"/>
        <v>-64.25</v>
      </c>
      <c r="K19" s="117"/>
      <c r="L19" s="79">
        <f t="shared" si="6"/>
        <v>50</v>
      </c>
      <c r="M19" s="116">
        <v>100</v>
      </c>
      <c r="N19" s="86">
        <f t="shared" si="11"/>
        <v>83.333333333333343</v>
      </c>
      <c r="O19" s="117">
        <v>30</v>
      </c>
      <c r="P19" s="86">
        <f t="shared" si="12"/>
        <v>53.333333333333343</v>
      </c>
      <c r="Q19" s="117"/>
      <c r="R19" s="116">
        <v>50</v>
      </c>
      <c r="S19" s="86">
        <f t="shared" si="7"/>
        <v>41.666666666666671</v>
      </c>
      <c r="T19" s="117">
        <v>165</v>
      </c>
      <c r="U19" s="81">
        <f t="shared" si="8"/>
        <v>-123.33333333333333</v>
      </c>
      <c r="W19" s="75"/>
    </row>
    <row r="20" spans="1:24" x14ac:dyDescent="0.25">
      <c r="A20" s="50" t="s">
        <v>156</v>
      </c>
      <c r="C20" s="84">
        <f t="shared" si="4"/>
        <v>-53.650793650793652</v>
      </c>
      <c r="D20" s="328">
        <v>0</v>
      </c>
      <c r="F20" s="84">
        <f t="shared" si="5"/>
        <v>53.650793650793652</v>
      </c>
      <c r="G20" s="116">
        <f>Reserves!X10</f>
        <v>53.650793650793652</v>
      </c>
      <c r="H20" s="86">
        <f t="shared" si="9"/>
        <v>44.708994708994709</v>
      </c>
      <c r="I20" s="345">
        <v>104</v>
      </c>
      <c r="J20" s="86">
        <f t="shared" si="10"/>
        <v>-59.291005291005291</v>
      </c>
      <c r="K20" s="117"/>
      <c r="L20" s="79">
        <f t="shared" si="6"/>
        <v>0</v>
      </c>
      <c r="M20" s="116"/>
      <c r="N20" s="86">
        <f t="shared" si="11"/>
        <v>0</v>
      </c>
      <c r="O20" s="117">
        <v>0</v>
      </c>
      <c r="P20" s="86">
        <f t="shared" si="12"/>
        <v>0</v>
      </c>
      <c r="Q20" s="117"/>
      <c r="R20" s="116">
        <v>0</v>
      </c>
      <c r="S20" s="86">
        <f t="shared" si="7"/>
        <v>0</v>
      </c>
      <c r="T20" s="117">
        <v>0</v>
      </c>
      <c r="U20" s="81">
        <f t="shared" si="8"/>
        <v>0</v>
      </c>
      <c r="W20" s="75"/>
    </row>
    <row r="21" spans="1:24" x14ac:dyDescent="0.25">
      <c r="A21" s="50"/>
      <c r="C21" s="115"/>
      <c r="F21" s="115"/>
      <c r="G21" s="116"/>
      <c r="H21" s="117"/>
      <c r="I21" s="117"/>
      <c r="J21" s="117"/>
      <c r="K21" s="117"/>
      <c r="L21" s="115"/>
      <c r="M21" s="116"/>
      <c r="N21" s="117"/>
      <c r="O21" s="117"/>
      <c r="P21" s="117"/>
      <c r="Q21" s="117"/>
      <c r="R21" s="116"/>
      <c r="S21" s="117"/>
      <c r="T21" s="117"/>
      <c r="U21" s="117"/>
      <c r="W21" s="75"/>
    </row>
    <row r="22" spans="1:24" s="132" customFormat="1" ht="15.75" thickBot="1" x14ac:dyDescent="0.3">
      <c r="A22" s="138" t="s">
        <v>171</v>
      </c>
      <c r="C22" s="139">
        <f>SUM(C15:C20)</f>
        <v>-112.15079365079367</v>
      </c>
      <c r="D22" s="140">
        <f>SUM(D15:D20)</f>
        <v>450</v>
      </c>
      <c r="E22" s="321"/>
      <c r="F22" s="139">
        <f>SUM(F15:F20)</f>
        <v>62.15079365079368</v>
      </c>
      <c r="G22" s="140">
        <f>SUM(G15:G20)</f>
        <v>562.15079365079373</v>
      </c>
      <c r="H22" s="138">
        <f>SUM(H15:H20)</f>
        <v>468.45899470899474</v>
      </c>
      <c r="I22" s="138">
        <f>SUM(I15:I20)</f>
        <v>338</v>
      </c>
      <c r="J22" s="138">
        <f>SUM(J15:J20)</f>
        <v>130.45899470899471</v>
      </c>
      <c r="K22" s="141"/>
      <c r="L22" s="139">
        <f>SUM(L15:L20)</f>
        <v>-53</v>
      </c>
      <c r="M22" s="140">
        <f>SUM(M15:M20)</f>
        <v>500</v>
      </c>
      <c r="N22" s="138">
        <f>SUM(N15:N20)</f>
        <v>416.66666666666674</v>
      </c>
      <c r="O22" s="138">
        <f>SUM(O15:O20)</f>
        <v>81.09</v>
      </c>
      <c r="P22" s="138">
        <f>SUM(P15:P20)</f>
        <v>335.57666666666671</v>
      </c>
      <c r="Q22" s="141"/>
      <c r="R22" s="140">
        <f>SUM(R15:R20)</f>
        <v>553</v>
      </c>
      <c r="S22" s="138">
        <f>SUM(S15:S20)</f>
        <v>460.83333333333343</v>
      </c>
      <c r="T22" s="138">
        <f>SUM(T15:T20)</f>
        <v>300</v>
      </c>
      <c r="U22" s="138">
        <f>SUM(U15:U20)</f>
        <v>160.83333333333343</v>
      </c>
      <c r="W22" s="93"/>
    </row>
    <row r="23" spans="1:24" x14ac:dyDescent="0.25">
      <c r="A23" s="35"/>
      <c r="C23" s="115"/>
      <c r="F23" s="115"/>
      <c r="G23" s="124"/>
      <c r="H23" s="117"/>
      <c r="I23" s="117"/>
      <c r="J23" s="117"/>
      <c r="K23" s="117"/>
      <c r="L23" s="115"/>
      <c r="M23" s="124"/>
      <c r="N23" s="117"/>
      <c r="O23" s="117"/>
      <c r="P23" s="117"/>
      <c r="Q23" s="117"/>
      <c r="R23" s="124"/>
      <c r="S23" s="117"/>
      <c r="T23" s="125"/>
      <c r="U23" s="117"/>
      <c r="W23" s="75"/>
    </row>
    <row r="24" spans="1:24" x14ac:dyDescent="0.25">
      <c r="A24" s="50" t="s">
        <v>91</v>
      </c>
      <c r="C24" s="84">
        <f>D24-G24</f>
        <v>0</v>
      </c>
      <c r="D24" s="331">
        <f>G24</f>
        <v>400</v>
      </c>
      <c r="E24" s="305"/>
      <c r="F24" s="84">
        <f>G24-M24</f>
        <v>0</v>
      </c>
      <c r="G24" s="116">
        <v>400</v>
      </c>
      <c r="H24" s="86">
        <f t="shared" ref="H24" si="13">G24/12*10</f>
        <v>333.33333333333337</v>
      </c>
      <c r="I24" s="345"/>
      <c r="J24" s="86">
        <f t="shared" ref="J24" si="14">H24-I24</f>
        <v>333.33333333333337</v>
      </c>
      <c r="K24" s="117"/>
      <c r="L24" s="79">
        <f>M24-R24</f>
        <v>0</v>
      </c>
      <c r="M24" s="116">
        <v>400</v>
      </c>
      <c r="N24" s="86">
        <f t="shared" ref="N24" si="15">M24/12*10</f>
        <v>333.33333333333337</v>
      </c>
      <c r="O24" s="117">
        <v>0</v>
      </c>
      <c r="P24" s="86">
        <f t="shared" ref="P24" si="16">N24-O24</f>
        <v>333.33333333333337</v>
      </c>
      <c r="Q24" s="117"/>
      <c r="R24" s="116">
        <v>400</v>
      </c>
      <c r="S24" s="86">
        <f>R24/12*10</f>
        <v>333.33333333333337</v>
      </c>
      <c r="T24" s="117">
        <v>0</v>
      </c>
      <c r="U24" s="81">
        <f>S24-T24</f>
        <v>333.33333333333337</v>
      </c>
      <c r="W24" s="75"/>
    </row>
    <row r="25" spans="1:24" x14ac:dyDescent="0.25">
      <c r="A25" s="50"/>
      <c r="C25" s="115"/>
      <c r="F25" s="115"/>
      <c r="G25" s="116"/>
      <c r="H25" s="117"/>
      <c r="I25" s="117"/>
      <c r="J25" s="117"/>
      <c r="K25" s="117"/>
      <c r="L25" s="115"/>
      <c r="M25" s="116"/>
      <c r="N25" s="117"/>
      <c r="O25" s="117"/>
      <c r="P25" s="117"/>
      <c r="Q25" s="117"/>
      <c r="R25" s="116"/>
      <c r="S25" s="117"/>
      <c r="T25" s="117"/>
      <c r="U25" s="117"/>
      <c r="W25" s="75"/>
    </row>
    <row r="26" spans="1:24" s="132" customFormat="1" ht="15.75" thickBot="1" x14ac:dyDescent="0.3">
      <c r="A26" s="138" t="s">
        <v>169</v>
      </c>
      <c r="C26" s="139">
        <f>C13+C22+C24</f>
        <v>72.519206349206314</v>
      </c>
      <c r="D26" s="140">
        <f>D13+D22+D24</f>
        <v>2389</v>
      </c>
      <c r="E26" s="321"/>
      <c r="F26" s="139">
        <f>F13+F22+F24</f>
        <v>276.48079365079371</v>
      </c>
      <c r="G26" s="140">
        <f>G13+G22+G24</f>
        <v>2316.4807936507937</v>
      </c>
      <c r="H26" s="138">
        <f>H13+H22+H24</f>
        <v>1930.4006613756615</v>
      </c>
      <c r="I26" s="138">
        <f>I13+I22+I24</f>
        <v>1628</v>
      </c>
      <c r="J26" s="138">
        <f>J13+J22+J24</f>
        <v>302.40066137566146</v>
      </c>
      <c r="K26" s="141"/>
      <c r="L26" s="139">
        <f>L13+L22+L24</f>
        <v>47</v>
      </c>
      <c r="M26" s="140">
        <f>M13+M22+M24</f>
        <v>2040</v>
      </c>
      <c r="N26" s="138">
        <f>N13+N22+N24</f>
        <v>1700</v>
      </c>
      <c r="O26" s="138">
        <f>O13+O22+O24</f>
        <v>1221.0899999999999</v>
      </c>
      <c r="P26" s="138">
        <f>P13+P22+P24</f>
        <v>478.91000000000008</v>
      </c>
      <c r="Q26" s="141"/>
      <c r="R26" s="140">
        <f>R13+R22+R24</f>
        <v>1993</v>
      </c>
      <c r="S26" s="138">
        <f>S13+S22+S24</f>
        <v>1660.8333333333335</v>
      </c>
      <c r="T26" s="138">
        <f>T13+T22+T24</f>
        <v>1056.77</v>
      </c>
      <c r="U26" s="138">
        <f>U13+U22+U24</f>
        <v>604.0633333333335</v>
      </c>
      <c r="W26" s="144"/>
    </row>
    <row r="27" spans="1:24" x14ac:dyDescent="0.25">
      <c r="A27" s="35"/>
      <c r="C27" s="115"/>
      <c r="F27" s="115"/>
      <c r="G27" s="124"/>
      <c r="H27" s="117"/>
      <c r="I27" s="117"/>
      <c r="J27" s="117"/>
      <c r="K27" s="117"/>
      <c r="L27" s="115"/>
      <c r="M27" s="124"/>
      <c r="N27" s="117"/>
      <c r="O27" s="117"/>
      <c r="P27" s="117"/>
      <c r="Q27" s="117"/>
      <c r="R27" s="124"/>
      <c r="S27" s="117"/>
      <c r="T27" s="125"/>
      <c r="U27" s="117"/>
      <c r="W27" s="76"/>
    </row>
    <row r="28" spans="1:24" x14ac:dyDescent="0.25">
      <c r="A28" s="35" t="s">
        <v>99</v>
      </c>
      <c r="C28" s="84">
        <f>D28-G28</f>
        <v>125</v>
      </c>
      <c r="D28" s="363">
        <f>Reserves!F10</f>
        <v>425</v>
      </c>
      <c r="E28" s="305"/>
      <c r="F28" s="84">
        <f>G28-M28</f>
        <v>-200</v>
      </c>
      <c r="G28" s="116">
        <v>300</v>
      </c>
      <c r="H28" s="86">
        <f t="shared" ref="H28" si="17">G28/12*10</f>
        <v>250</v>
      </c>
      <c r="I28" s="345"/>
      <c r="J28" s="86">
        <f t="shared" ref="J28" si="18">H28-I28</f>
        <v>250</v>
      </c>
      <c r="K28" s="117"/>
      <c r="L28" s="79">
        <f>M28-R28</f>
        <v>0</v>
      </c>
      <c r="M28" s="116">
        <v>500</v>
      </c>
      <c r="N28" s="86">
        <f t="shared" ref="N28" si="19">M28/12*10</f>
        <v>416.66666666666663</v>
      </c>
      <c r="O28" s="117">
        <v>0</v>
      </c>
      <c r="P28" s="86">
        <f t="shared" ref="P28" si="20">N28-O28</f>
        <v>416.66666666666663</v>
      </c>
      <c r="Q28" s="117"/>
      <c r="R28" s="116">
        <v>500</v>
      </c>
      <c r="S28" s="86">
        <f>R28/12*10</f>
        <v>416.66666666666663</v>
      </c>
      <c r="T28" s="117">
        <v>375</v>
      </c>
      <c r="U28" s="81">
        <f>S28-T28</f>
        <v>41.666666666666629</v>
      </c>
    </row>
    <row r="29" spans="1:24" x14ac:dyDescent="0.25">
      <c r="A29" s="35"/>
      <c r="C29" s="115"/>
      <c r="F29" s="115"/>
      <c r="G29" s="116"/>
      <c r="H29" s="117"/>
      <c r="I29" s="117"/>
      <c r="J29" s="117"/>
      <c r="K29" s="117"/>
      <c r="L29" s="115"/>
      <c r="M29" s="116"/>
      <c r="N29" s="117"/>
      <c r="O29" s="117"/>
      <c r="P29" s="117"/>
      <c r="Q29" s="117"/>
      <c r="R29" s="116"/>
      <c r="S29" s="117"/>
      <c r="T29" s="117"/>
      <c r="U29" s="117"/>
    </row>
    <row r="30" spans="1:24" s="132" customFormat="1" ht="15.75" thickBot="1" x14ac:dyDescent="0.3">
      <c r="A30" s="138" t="s">
        <v>1</v>
      </c>
      <c r="C30" s="128">
        <f t="shared" ref="C30" si="21">SUM(C26:C29)</f>
        <v>197.51920634920631</v>
      </c>
      <c r="D30" s="129">
        <f t="shared" ref="D30" si="22">SUM(D26:D29)</f>
        <v>2814</v>
      </c>
      <c r="E30" s="322"/>
      <c r="F30" s="128">
        <f>SUM(F26:F29)</f>
        <v>76.480793650793714</v>
      </c>
      <c r="G30" s="129">
        <f>SUM(G26:G29)</f>
        <v>2616.4807936507937</v>
      </c>
      <c r="H30" s="130">
        <f t="shared" ref="H30:J30" si="23">SUM(H26:H29)</f>
        <v>2180.4006613756615</v>
      </c>
      <c r="I30" s="130">
        <f t="shared" si="23"/>
        <v>1628</v>
      </c>
      <c r="J30" s="130">
        <f t="shared" si="23"/>
        <v>552.40066137566146</v>
      </c>
      <c r="K30" s="141"/>
      <c r="L30" s="128">
        <f t="shared" ref="L30:P30" si="24">SUM(L26:L29)</f>
        <v>47</v>
      </c>
      <c r="M30" s="129">
        <f t="shared" si="24"/>
        <v>2540</v>
      </c>
      <c r="N30" s="130">
        <f t="shared" si="24"/>
        <v>2116.6666666666665</v>
      </c>
      <c r="O30" s="130">
        <f t="shared" si="24"/>
        <v>1221.0899999999999</v>
      </c>
      <c r="P30" s="130">
        <f t="shared" si="24"/>
        <v>895.57666666666671</v>
      </c>
      <c r="Q30" s="141"/>
      <c r="R30" s="129">
        <f>SUM(R26:R29)</f>
        <v>2493</v>
      </c>
      <c r="S30" s="130">
        <f t="shared" ref="S30:U30" si="25">SUM(S26:S29)</f>
        <v>2077.5</v>
      </c>
      <c r="T30" s="130">
        <f t="shared" si="25"/>
        <v>1431.77</v>
      </c>
      <c r="U30" s="130">
        <f t="shared" si="25"/>
        <v>645.73000000000013</v>
      </c>
      <c r="W30" s="158">
        <f>SUM(B30:V30)</f>
        <v>23533.615449735447</v>
      </c>
      <c r="X30" s="159" t="s">
        <v>174</v>
      </c>
    </row>
    <row r="31" spans="1:24" x14ac:dyDescent="0.25">
      <c r="F31" s="32"/>
      <c r="G31" s="32"/>
    </row>
    <row r="32" spans="1:24" x14ac:dyDescent="0.25">
      <c r="A32" s="5" t="s">
        <v>166</v>
      </c>
      <c r="B32" s="5"/>
      <c r="C32" s="100">
        <f>Summary!$C$25</f>
        <v>1.7000000000000001E-2</v>
      </c>
      <c r="D32" s="306"/>
      <c r="E32" s="306"/>
      <c r="F32" s="306"/>
      <c r="G32" s="306"/>
      <c r="H32" s="306"/>
    </row>
    <row r="34" spans="1:6" ht="18.75" x14ac:dyDescent="0.25">
      <c r="A34" s="351" t="s">
        <v>267</v>
      </c>
      <c r="B34" s="352"/>
      <c r="C34" s="353" t="s">
        <v>236</v>
      </c>
      <c r="D34" s="354" t="s">
        <v>237</v>
      </c>
      <c r="F34" s="356" t="s">
        <v>268</v>
      </c>
    </row>
    <row r="35" spans="1:6" x14ac:dyDescent="0.25">
      <c r="A35" s="236" t="s">
        <v>298</v>
      </c>
      <c r="B35" s="237"/>
      <c r="C35" s="239">
        <v>5366</v>
      </c>
      <c r="D35" s="239"/>
      <c r="F35" s="34" t="s">
        <v>307</v>
      </c>
    </row>
    <row r="36" spans="1:6" ht="30" x14ac:dyDescent="0.25">
      <c r="A36" s="368" t="s">
        <v>299</v>
      </c>
      <c r="B36" s="237"/>
      <c r="C36" s="239"/>
      <c r="D36" s="239"/>
    </row>
    <row r="37" spans="1:6" x14ac:dyDescent="0.25">
      <c r="A37" s="192"/>
      <c r="B37" s="237"/>
      <c r="C37" s="238"/>
      <c r="D37" s="239"/>
    </row>
    <row r="38" spans="1:6" x14ac:dyDescent="0.25">
      <c r="A38" s="192"/>
      <c r="B38" s="237"/>
      <c r="C38" s="238"/>
      <c r="D38" s="239"/>
    </row>
    <row r="39" spans="1:6" x14ac:dyDescent="0.25">
      <c r="A39" s="194"/>
      <c r="B39" s="193"/>
      <c r="C39" s="191"/>
      <c r="D39" s="191"/>
    </row>
    <row r="40" spans="1:6" x14ac:dyDescent="0.25">
      <c r="A40" s="194"/>
      <c r="B40" s="193"/>
      <c r="C40" s="191"/>
      <c r="D40" s="191"/>
    </row>
    <row r="41" spans="1:6" x14ac:dyDescent="0.25">
      <c r="A41" s="194"/>
      <c r="B41" s="193"/>
      <c r="C41" s="191"/>
      <c r="D41" s="191"/>
    </row>
    <row r="42" spans="1:6" x14ac:dyDescent="0.25">
      <c r="A42" s="194"/>
      <c r="B42" s="193"/>
      <c r="C42" s="191"/>
      <c r="D42" s="191"/>
    </row>
    <row r="43" spans="1:6" x14ac:dyDescent="0.25">
      <c r="A43" s="194"/>
      <c r="B43" s="193"/>
      <c r="C43" s="191"/>
      <c r="D43" s="191"/>
    </row>
    <row r="44" spans="1:6" x14ac:dyDescent="0.25">
      <c r="A44" s="221"/>
      <c r="B44" s="237"/>
      <c r="C44" s="238"/>
      <c r="D44" s="238"/>
    </row>
    <row r="45" spans="1:6" x14ac:dyDescent="0.25">
      <c r="A45" s="240" t="s">
        <v>201</v>
      </c>
      <c r="B45" s="241"/>
      <c r="C45" s="242">
        <f>SUM(C35:C44)</f>
        <v>5366</v>
      </c>
      <c r="D45" s="242">
        <f>SUM(D35:D44)</f>
        <v>0</v>
      </c>
    </row>
    <row r="46" spans="1:6" x14ac:dyDescent="0.25">
      <c r="A46" s="295"/>
      <c r="B46" s="226"/>
      <c r="C46" s="226"/>
      <c r="D46" s="303"/>
    </row>
    <row r="47" spans="1:6" ht="30" customHeight="1" x14ac:dyDescent="0.25">
      <c r="A47" s="414"/>
      <c r="B47" s="415"/>
      <c r="C47" s="415"/>
      <c r="D47" s="415"/>
      <c r="E47" s="425"/>
      <c r="F47" s="425"/>
    </row>
    <row r="48" spans="1:6" ht="30" customHeight="1" x14ac:dyDescent="0.25">
      <c r="A48" s="414"/>
      <c r="B48" s="415"/>
      <c r="C48" s="415"/>
      <c r="D48" s="415"/>
      <c r="E48" s="425"/>
      <c r="F48" s="425"/>
    </row>
    <row r="49" spans="1:6" ht="30" customHeight="1" x14ac:dyDescent="0.25">
      <c r="A49" s="414"/>
      <c r="B49" s="415"/>
      <c r="C49" s="415"/>
      <c r="D49" s="415"/>
      <c r="E49" s="425"/>
      <c r="F49" s="425"/>
    </row>
  </sheetData>
  <mergeCells count="17">
    <mergeCell ref="G4:H4"/>
    <mergeCell ref="H5:J5"/>
    <mergeCell ref="F3:J3"/>
    <mergeCell ref="R3:U3"/>
    <mergeCell ref="F4:F5"/>
    <mergeCell ref="L4:L5"/>
    <mergeCell ref="M4:N4"/>
    <mergeCell ref="R4:S4"/>
    <mergeCell ref="N5:P5"/>
    <mergeCell ref="S5:U5"/>
    <mergeCell ref="L3:P3"/>
    <mergeCell ref="A47:F47"/>
    <mergeCell ref="A48:F48"/>
    <mergeCell ref="A49:F49"/>
    <mergeCell ref="C3:D3"/>
    <mergeCell ref="C4:C5"/>
    <mergeCell ref="D4:D5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78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</vt:i4>
      </vt:variant>
    </vt:vector>
  </HeadingPairs>
  <TitlesOfParts>
    <vt:vector size="18" baseType="lpstr">
      <vt:lpstr>Reserves</vt:lpstr>
      <vt:lpstr>Summary</vt:lpstr>
      <vt:lpstr>Communal Management Costs</vt:lpstr>
      <vt:lpstr>Leisure Suite</vt:lpstr>
      <vt:lpstr>Insurance</vt:lpstr>
      <vt:lpstr>Alexandra</vt:lpstr>
      <vt:lpstr>Alexandra Building</vt:lpstr>
      <vt:lpstr>Cliffe</vt:lpstr>
      <vt:lpstr>Edward</vt:lpstr>
      <vt:lpstr>Kingswood</vt:lpstr>
      <vt:lpstr>Muxlow </vt:lpstr>
      <vt:lpstr>Peveril</vt:lpstr>
      <vt:lpstr>Sheaf 1</vt:lpstr>
      <vt:lpstr>Sheaf 2</vt:lpstr>
      <vt:lpstr>Sheaf 3 Apts</vt:lpstr>
      <vt:lpstr>Sheaf 3 Building</vt:lpstr>
      <vt:lpstr>Victoria</vt:lpstr>
      <vt:lpstr>Alexandra!Print_Titles</vt:lpstr>
    </vt:vector>
  </TitlesOfParts>
  <Company>Mainstay Group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stuartbu</dc:creator>
  <cp:lastModifiedBy>Tracey Baker</cp:lastModifiedBy>
  <cp:lastPrinted>2017-12-05T19:08:37Z</cp:lastPrinted>
  <dcterms:created xsi:type="dcterms:W3CDTF">2011-06-09T15:13:02Z</dcterms:created>
  <dcterms:modified xsi:type="dcterms:W3CDTF">2020-01-28T14:06:29Z</dcterms:modified>
</cp:coreProperties>
</file>