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cey Baker\Desktop\New website\"/>
    </mc:Choice>
  </mc:AlternateContent>
  <xr:revisionPtr revIDLastSave="0" documentId="8_{7DB85988-F18D-4F2E-A690-777639B62353}" xr6:coauthVersionLast="40" xr6:coauthVersionMax="40" xr10:uidLastSave="{00000000-0000-0000-0000-000000000000}"/>
  <bookViews>
    <workbookView xWindow="0" yWindow="0" windowWidth="28800" windowHeight="12165" tabRatio="952" activeTab="1" xr2:uid="{00000000-000D-0000-FFFF-FFFF00000000}"/>
  </bookViews>
  <sheets>
    <sheet name="Reserves" sheetId="22" r:id="rId1"/>
    <sheet name="Summary" sheetId="19" r:id="rId2"/>
    <sheet name="Communal Management Costs" sheetId="20" r:id="rId3"/>
    <sheet name="Leisure Suite" sheetId="6" r:id="rId4"/>
    <sheet name="Insurance" sheetId="8" r:id="rId5"/>
    <sheet name="Alexandra" sheetId="1" r:id="rId6"/>
    <sheet name="Alexandra Building" sheetId="2" r:id="rId7"/>
    <sheet name="Cliffe" sheetId="3" r:id="rId8"/>
    <sheet name="Edward" sheetId="4" r:id="rId9"/>
    <sheet name="Kingswood" sheetId="9" r:id="rId10"/>
    <sheet name="Muxlow " sheetId="21" r:id="rId11"/>
    <sheet name="Peveril" sheetId="11" r:id="rId12"/>
    <sheet name="Sheaf 1" sheetId="12" r:id="rId13"/>
    <sheet name="Sheaf 2" sheetId="13" r:id="rId14"/>
    <sheet name="Sheaf 3 Apts" sheetId="15" r:id="rId15"/>
    <sheet name="Sheaf 3 Building" sheetId="14" r:id="rId16"/>
    <sheet name="Victoria" sheetId="16" r:id="rId17"/>
  </sheets>
  <definedNames>
    <definedName name="_xlnm.Print_Titles" localSheetId="5">Alexandra!$1:$3</definedName>
    <definedName name="_xlnm.Print_Titles" localSheetId="3">'Leisure Suite'!#REF!</definedName>
    <definedName name="_xlnm.Print_Titles" localSheetId="1">Summary!#REF!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5" i="6" l="1"/>
  <c r="O55" i="6" s="1"/>
  <c r="Q17" i="22" l="1"/>
  <c r="Q18" i="22"/>
  <c r="F18" i="22" l="1"/>
  <c r="D30" i="16" s="1"/>
  <c r="F17" i="22"/>
  <c r="D13" i="14" s="1"/>
  <c r="F16" i="22"/>
  <c r="D28" i="15" s="1"/>
  <c r="F15" i="22"/>
  <c r="D39" i="13" s="1"/>
  <c r="F14" i="22"/>
  <c r="F13" i="22"/>
  <c r="D30" i="11" s="1"/>
  <c r="F12" i="22"/>
  <c r="D30" i="21" s="1"/>
  <c r="D80" i="22" s="1"/>
  <c r="F11" i="22"/>
  <c r="D33" i="9" s="1"/>
  <c r="D74" i="22" s="1"/>
  <c r="F10" i="22"/>
  <c r="D29" i="4" s="1"/>
  <c r="D68" i="22" s="1"/>
  <c r="F9" i="22"/>
  <c r="D29" i="3" s="1"/>
  <c r="D62" i="22" s="1"/>
  <c r="F8" i="22"/>
  <c r="D13" i="2" s="1"/>
  <c r="F6" i="22"/>
  <c r="F5" i="22"/>
  <c r="F7" i="22"/>
  <c r="D28" i="1" s="1"/>
  <c r="C20" i="22"/>
  <c r="D31" i="12"/>
  <c r="D74" i="20"/>
  <c r="D36" i="22" s="1"/>
  <c r="D67" i="6" l="1"/>
  <c r="D43" i="22" s="1"/>
  <c r="B18" i="22"/>
  <c r="R18" i="22" s="1"/>
  <c r="S18" i="22" s="1"/>
  <c r="B17" i="22"/>
  <c r="B16" i="22"/>
  <c r="B15" i="22"/>
  <c r="T15" i="22" s="1"/>
  <c r="B14" i="22"/>
  <c r="T14" i="22" s="1"/>
  <c r="B13" i="22"/>
  <c r="T13" i="22" s="1"/>
  <c r="B12" i="22"/>
  <c r="T12" i="22" s="1"/>
  <c r="B11" i="22"/>
  <c r="T11" i="22" s="1"/>
  <c r="B10" i="22"/>
  <c r="T10" i="22" s="1"/>
  <c r="B9" i="22"/>
  <c r="T9" i="22" s="1"/>
  <c r="B8" i="22"/>
  <c r="T8" i="22" s="1"/>
  <c r="B7" i="22"/>
  <c r="D116" i="22"/>
  <c r="D110" i="22"/>
  <c r="D104" i="22"/>
  <c r="D98" i="22"/>
  <c r="D92" i="22"/>
  <c r="D86" i="22"/>
  <c r="D55" i="22"/>
  <c r="D49" i="22"/>
  <c r="T18" i="22" l="1"/>
  <c r="T17" i="22"/>
  <c r="R17" i="22"/>
  <c r="S17" i="22" s="1"/>
  <c r="T20" i="22"/>
  <c r="D111" i="22"/>
  <c r="D117" i="22"/>
  <c r="D105" i="22"/>
  <c r="D99" i="22"/>
  <c r="D93" i="22"/>
  <c r="D87" i="22"/>
  <c r="D81" i="22"/>
  <c r="D75" i="22"/>
  <c r="D69" i="22"/>
  <c r="D63" i="22"/>
  <c r="D56" i="22"/>
  <c r="D50" i="22"/>
  <c r="D44" i="22"/>
  <c r="C42" i="20"/>
  <c r="M42" i="20"/>
  <c r="O42" i="20" s="1"/>
  <c r="H42" i="20"/>
  <c r="J42" i="20" s="1"/>
  <c r="F42" i="20"/>
  <c r="D37" i="22" l="1"/>
  <c r="D14" i="8"/>
  <c r="C23" i="8"/>
  <c r="D22" i="8" s="1"/>
  <c r="F22" i="8" s="1"/>
  <c r="D18" i="6"/>
  <c r="D61" i="6" l="1"/>
  <c r="D21" i="8"/>
  <c r="W2" i="22"/>
  <c r="D23" i="8" l="1"/>
  <c r="F21" i="8"/>
  <c r="D11" i="16"/>
  <c r="K20" i="22"/>
  <c r="L18" i="22"/>
  <c r="L17" i="22"/>
  <c r="L16" i="22"/>
  <c r="L15" i="22"/>
  <c r="L14" i="22"/>
  <c r="L13" i="22"/>
  <c r="L12" i="22"/>
  <c r="L11" i="22"/>
  <c r="L10" i="22"/>
  <c r="L9" i="22"/>
  <c r="L8" i="22"/>
  <c r="L7" i="22"/>
  <c r="L6" i="22"/>
  <c r="L5" i="22"/>
  <c r="Q15" i="22"/>
  <c r="R15" i="22" s="1"/>
  <c r="S15" i="22" s="1"/>
  <c r="Q14" i="22"/>
  <c r="R14" i="22" s="1"/>
  <c r="S14" i="22" s="1"/>
  <c r="Q13" i="22"/>
  <c r="R13" i="22" s="1"/>
  <c r="S13" i="22" s="1"/>
  <c r="Q12" i="22"/>
  <c r="R12" i="22" s="1"/>
  <c r="S12" i="22" s="1"/>
  <c r="Q11" i="22"/>
  <c r="R11" i="22" s="1"/>
  <c r="S11" i="22" s="1"/>
  <c r="Q10" i="22"/>
  <c r="R10" i="22" s="1"/>
  <c r="S10" i="22" s="1"/>
  <c r="Q9" i="22"/>
  <c r="R9" i="22" s="1"/>
  <c r="S9" i="22" s="1"/>
  <c r="Q8" i="22"/>
  <c r="R8" i="22" s="1"/>
  <c r="S8" i="22" s="1"/>
  <c r="I20" i="22"/>
  <c r="J6" i="22"/>
  <c r="J5" i="22"/>
  <c r="J18" i="22"/>
  <c r="J17" i="22"/>
  <c r="J16" i="22"/>
  <c r="J15" i="22"/>
  <c r="J14" i="22"/>
  <c r="J13" i="22"/>
  <c r="J12" i="22"/>
  <c r="J11" i="22"/>
  <c r="J10" i="22"/>
  <c r="J9" i="22"/>
  <c r="J8" i="22"/>
  <c r="J7" i="22"/>
  <c r="G6" i="22"/>
  <c r="G18" i="22"/>
  <c r="G17" i="22"/>
  <c r="G16" i="22"/>
  <c r="G15" i="22"/>
  <c r="G13" i="22"/>
  <c r="G12" i="22"/>
  <c r="G11" i="22"/>
  <c r="G10" i="22"/>
  <c r="G8" i="22"/>
  <c r="C18" i="8"/>
  <c r="C11" i="8" s="1"/>
  <c r="M14" i="8"/>
  <c r="O14" i="8" s="1"/>
  <c r="M13" i="8"/>
  <c r="O13" i="8" s="1"/>
  <c r="M12" i="8"/>
  <c r="O12" i="8" s="1"/>
  <c r="M11" i="8"/>
  <c r="O11" i="8" s="1"/>
  <c r="M10" i="8"/>
  <c r="O10" i="8" s="1"/>
  <c r="H14" i="8"/>
  <c r="J14" i="8" s="1"/>
  <c r="F14" i="8"/>
  <c r="C14" i="8"/>
  <c r="H13" i="8"/>
  <c r="J13" i="8" s="1"/>
  <c r="F13" i="8"/>
  <c r="C13" i="8"/>
  <c r="H12" i="8"/>
  <c r="J12" i="8" s="1"/>
  <c r="F12" i="8"/>
  <c r="C12" i="8"/>
  <c r="H11" i="8"/>
  <c r="J11" i="8" s="1"/>
  <c r="F11" i="8"/>
  <c r="H10" i="8"/>
  <c r="J10" i="8" s="1"/>
  <c r="F10" i="8"/>
  <c r="N16" i="8"/>
  <c r="P10" i="19" s="1"/>
  <c r="L16" i="8"/>
  <c r="N10" i="19" s="1"/>
  <c r="I16" i="8"/>
  <c r="K10" i="19" s="1"/>
  <c r="G16" i="8"/>
  <c r="I10" i="19" s="1"/>
  <c r="M9" i="8"/>
  <c r="O9" i="8" s="1"/>
  <c r="H9" i="8"/>
  <c r="F9" i="8"/>
  <c r="G8" i="19"/>
  <c r="D63" i="6"/>
  <c r="I63" i="6"/>
  <c r="G63" i="6"/>
  <c r="N63" i="6"/>
  <c r="L63" i="6"/>
  <c r="I57" i="6"/>
  <c r="G57" i="6"/>
  <c r="N57" i="6"/>
  <c r="L57" i="6"/>
  <c r="I43" i="6"/>
  <c r="G43" i="6"/>
  <c r="N43" i="6"/>
  <c r="L43" i="6"/>
  <c r="I33" i="6"/>
  <c r="G33" i="6"/>
  <c r="D33" i="6"/>
  <c r="N33" i="6"/>
  <c r="L33" i="6"/>
  <c r="I26" i="6"/>
  <c r="G26" i="6"/>
  <c r="N26" i="6"/>
  <c r="L26" i="6"/>
  <c r="I15" i="6"/>
  <c r="G15" i="6"/>
  <c r="N15" i="6"/>
  <c r="L15" i="6"/>
  <c r="C71" i="6"/>
  <c r="D52" i="6" s="1"/>
  <c r="C52" i="6" s="1"/>
  <c r="C78" i="20"/>
  <c r="H67" i="6"/>
  <c r="J67" i="6" s="1"/>
  <c r="F67" i="6"/>
  <c r="H61" i="6"/>
  <c r="J61" i="6" s="1"/>
  <c r="F61" i="6"/>
  <c r="C61" i="6"/>
  <c r="H60" i="6"/>
  <c r="J60" i="6" s="1"/>
  <c r="F60" i="6"/>
  <c r="C60" i="6"/>
  <c r="H55" i="6"/>
  <c r="J55" i="6" s="1"/>
  <c r="F55" i="6"/>
  <c r="H54" i="6"/>
  <c r="J54" i="6" s="1"/>
  <c r="F54" i="6"/>
  <c r="C54" i="6"/>
  <c r="H53" i="6"/>
  <c r="J53" i="6" s="1"/>
  <c r="F53" i="6"/>
  <c r="C53" i="6"/>
  <c r="H52" i="6"/>
  <c r="J52" i="6" s="1"/>
  <c r="F52" i="6"/>
  <c r="H51" i="6"/>
  <c r="J51" i="6" s="1"/>
  <c r="F51" i="6"/>
  <c r="C51" i="6"/>
  <c r="H50" i="6"/>
  <c r="J50" i="6" s="1"/>
  <c r="F50" i="6"/>
  <c r="H49" i="6"/>
  <c r="J49" i="6" s="1"/>
  <c r="F49" i="6"/>
  <c r="H48" i="6"/>
  <c r="J48" i="6" s="1"/>
  <c r="F48" i="6"/>
  <c r="H47" i="6"/>
  <c r="J47" i="6" s="1"/>
  <c r="F47" i="6"/>
  <c r="H46" i="6"/>
  <c r="J46" i="6" s="1"/>
  <c r="F46" i="6"/>
  <c r="C46" i="6"/>
  <c r="H41" i="6"/>
  <c r="J41" i="6" s="1"/>
  <c r="F41" i="6"/>
  <c r="C41" i="6"/>
  <c r="H40" i="6"/>
  <c r="J40" i="6" s="1"/>
  <c r="F40" i="6"/>
  <c r="C40" i="6"/>
  <c r="H39" i="6"/>
  <c r="J39" i="6" s="1"/>
  <c r="F39" i="6"/>
  <c r="C39" i="6"/>
  <c r="H38" i="6"/>
  <c r="J38" i="6" s="1"/>
  <c r="F38" i="6"/>
  <c r="C38" i="6"/>
  <c r="H37" i="6"/>
  <c r="J37" i="6" s="1"/>
  <c r="F37" i="6"/>
  <c r="H36" i="6"/>
  <c r="J36" i="6" s="1"/>
  <c r="F36" i="6"/>
  <c r="C36" i="6"/>
  <c r="H31" i="6"/>
  <c r="J31" i="6" s="1"/>
  <c r="F31" i="6"/>
  <c r="C31" i="6"/>
  <c r="H30" i="6"/>
  <c r="J30" i="6" s="1"/>
  <c r="F30" i="6"/>
  <c r="C30" i="6"/>
  <c r="H29" i="6"/>
  <c r="J29" i="6" s="1"/>
  <c r="F29" i="6"/>
  <c r="C29" i="6"/>
  <c r="H24" i="6"/>
  <c r="J24" i="6" s="1"/>
  <c r="F24" i="6"/>
  <c r="C24" i="6"/>
  <c r="H23" i="6"/>
  <c r="J23" i="6" s="1"/>
  <c r="F23" i="6"/>
  <c r="C23" i="6"/>
  <c r="H22" i="6"/>
  <c r="J22" i="6" s="1"/>
  <c r="F22" i="6"/>
  <c r="C22" i="6"/>
  <c r="H21" i="6"/>
  <c r="J21" i="6" s="1"/>
  <c r="F21" i="6"/>
  <c r="C21" i="6"/>
  <c r="H20" i="6"/>
  <c r="J20" i="6" s="1"/>
  <c r="F20" i="6"/>
  <c r="H19" i="6"/>
  <c r="J19" i="6" s="1"/>
  <c r="F19" i="6"/>
  <c r="C19" i="6"/>
  <c r="H18" i="6"/>
  <c r="J18" i="6" s="1"/>
  <c r="F18" i="6"/>
  <c r="C18" i="6"/>
  <c r="H13" i="6"/>
  <c r="J13" i="6" s="1"/>
  <c r="F13" i="6"/>
  <c r="C13" i="6"/>
  <c r="H12" i="6"/>
  <c r="J12" i="6" s="1"/>
  <c r="F12" i="6"/>
  <c r="H11" i="6"/>
  <c r="J11" i="6" s="1"/>
  <c r="F11" i="6"/>
  <c r="H10" i="6"/>
  <c r="J10" i="6" s="1"/>
  <c r="F10" i="6"/>
  <c r="H9" i="6"/>
  <c r="J9" i="6" s="1"/>
  <c r="F9" i="6"/>
  <c r="C9" i="6"/>
  <c r="M67" i="6"/>
  <c r="O67" i="6" s="1"/>
  <c r="M61" i="6"/>
  <c r="O61" i="6" s="1"/>
  <c r="M60" i="6"/>
  <c r="O60" i="6" s="1"/>
  <c r="M54" i="6"/>
  <c r="O54" i="6" s="1"/>
  <c r="M53" i="6"/>
  <c r="O53" i="6" s="1"/>
  <c r="M52" i="6"/>
  <c r="O52" i="6" s="1"/>
  <c r="M51" i="6"/>
  <c r="O51" i="6" s="1"/>
  <c r="M50" i="6"/>
  <c r="O50" i="6" s="1"/>
  <c r="M49" i="6"/>
  <c r="O49" i="6" s="1"/>
  <c r="M48" i="6"/>
  <c r="O48" i="6" s="1"/>
  <c r="M47" i="6"/>
  <c r="O47" i="6" s="1"/>
  <c r="M46" i="6"/>
  <c r="O46" i="6" s="1"/>
  <c r="M41" i="6"/>
  <c r="O41" i="6" s="1"/>
  <c r="M40" i="6"/>
  <c r="O40" i="6" s="1"/>
  <c r="M39" i="6"/>
  <c r="O39" i="6" s="1"/>
  <c r="M38" i="6"/>
  <c r="O38" i="6" s="1"/>
  <c r="M37" i="6"/>
  <c r="O37" i="6" s="1"/>
  <c r="M36" i="6"/>
  <c r="O36" i="6" s="1"/>
  <c r="M31" i="6"/>
  <c r="O31" i="6" s="1"/>
  <c r="M30" i="6"/>
  <c r="O30" i="6" s="1"/>
  <c r="M29" i="6"/>
  <c r="O29" i="6" s="1"/>
  <c r="M24" i="6"/>
  <c r="O24" i="6" s="1"/>
  <c r="M23" i="6"/>
  <c r="O23" i="6" s="1"/>
  <c r="M22" i="6"/>
  <c r="O22" i="6" s="1"/>
  <c r="M21" i="6"/>
  <c r="O21" i="6" s="1"/>
  <c r="M20" i="6"/>
  <c r="O20" i="6" s="1"/>
  <c r="M19" i="6"/>
  <c r="O19" i="6" s="1"/>
  <c r="M18" i="6"/>
  <c r="O18" i="6" s="1"/>
  <c r="M13" i="6"/>
  <c r="O13" i="6" s="1"/>
  <c r="M12" i="6"/>
  <c r="O12" i="6" s="1"/>
  <c r="M11" i="6"/>
  <c r="O11" i="6" s="1"/>
  <c r="M10" i="6"/>
  <c r="O10" i="6" s="1"/>
  <c r="M9" i="6"/>
  <c r="O9" i="6" s="1"/>
  <c r="M44" i="20"/>
  <c r="O44" i="20" s="1"/>
  <c r="H44" i="20"/>
  <c r="J44" i="20" s="1"/>
  <c r="F44" i="20"/>
  <c r="C44" i="20"/>
  <c r="M43" i="20"/>
  <c r="O43" i="20" s="1"/>
  <c r="H43" i="20"/>
  <c r="J43" i="20" s="1"/>
  <c r="F43" i="20"/>
  <c r="C43" i="20"/>
  <c r="M74" i="20"/>
  <c r="O74" i="20" s="1"/>
  <c r="H74" i="20"/>
  <c r="J74" i="20" s="1"/>
  <c r="F74" i="20"/>
  <c r="C74" i="20"/>
  <c r="I46" i="20"/>
  <c r="G46" i="20"/>
  <c r="N46" i="20"/>
  <c r="L46" i="20"/>
  <c r="D35" i="20"/>
  <c r="I35" i="20"/>
  <c r="G35" i="20"/>
  <c r="N35" i="20"/>
  <c r="L35" i="20"/>
  <c r="I27" i="20"/>
  <c r="G27" i="20"/>
  <c r="N27" i="20"/>
  <c r="L27" i="20"/>
  <c r="M41" i="20"/>
  <c r="O41" i="20" s="1"/>
  <c r="M40" i="20"/>
  <c r="O40" i="20" s="1"/>
  <c r="M39" i="20"/>
  <c r="O39" i="20" s="1"/>
  <c r="M38" i="20"/>
  <c r="O38" i="20" s="1"/>
  <c r="M33" i="20"/>
  <c r="O33" i="20" s="1"/>
  <c r="M32" i="20"/>
  <c r="O32" i="20" s="1"/>
  <c r="M31" i="20"/>
  <c r="O31" i="20" s="1"/>
  <c r="M30" i="20"/>
  <c r="O30" i="20" s="1"/>
  <c r="M25" i="20"/>
  <c r="O25" i="20" s="1"/>
  <c r="M24" i="20"/>
  <c r="O24" i="20" s="1"/>
  <c r="M23" i="20"/>
  <c r="O23" i="20" s="1"/>
  <c r="M22" i="20"/>
  <c r="O22" i="20" s="1"/>
  <c r="M21" i="20"/>
  <c r="O21" i="20" s="1"/>
  <c r="M20" i="20"/>
  <c r="O20" i="20" s="1"/>
  <c r="M19" i="20"/>
  <c r="O19" i="20" s="1"/>
  <c r="H41" i="20"/>
  <c r="J41" i="20" s="1"/>
  <c r="H40" i="20"/>
  <c r="J40" i="20" s="1"/>
  <c r="H39" i="20"/>
  <c r="J39" i="20" s="1"/>
  <c r="H38" i="20"/>
  <c r="J38" i="20" s="1"/>
  <c r="H33" i="20"/>
  <c r="J33" i="20" s="1"/>
  <c r="H32" i="20"/>
  <c r="J32" i="20" s="1"/>
  <c r="H31" i="20"/>
  <c r="J31" i="20" s="1"/>
  <c r="H30" i="20"/>
  <c r="J30" i="20" s="1"/>
  <c r="H25" i="20"/>
  <c r="J25" i="20" s="1"/>
  <c r="H24" i="20"/>
  <c r="J24" i="20" s="1"/>
  <c r="H23" i="20"/>
  <c r="J23" i="20" s="1"/>
  <c r="H22" i="20"/>
  <c r="J22" i="20" s="1"/>
  <c r="H21" i="20"/>
  <c r="J21" i="20" s="1"/>
  <c r="H20" i="20"/>
  <c r="J20" i="20" s="1"/>
  <c r="H19" i="20"/>
  <c r="J19" i="20" s="1"/>
  <c r="F41" i="20"/>
  <c r="F40" i="20"/>
  <c r="F39" i="20"/>
  <c r="F38" i="20"/>
  <c r="F33" i="20"/>
  <c r="F32" i="20"/>
  <c r="F31" i="20"/>
  <c r="F30" i="20"/>
  <c r="F25" i="20"/>
  <c r="F24" i="20"/>
  <c r="F23" i="20"/>
  <c r="F22" i="20"/>
  <c r="F21" i="20"/>
  <c r="F20" i="20"/>
  <c r="F19" i="20"/>
  <c r="C41" i="20"/>
  <c r="C40" i="20"/>
  <c r="C39" i="20"/>
  <c r="C33" i="20"/>
  <c r="C32" i="20"/>
  <c r="C31" i="20"/>
  <c r="C30" i="20"/>
  <c r="C24" i="20"/>
  <c r="C23" i="20"/>
  <c r="C22" i="20"/>
  <c r="C21" i="20"/>
  <c r="C20" i="20"/>
  <c r="C19" i="20"/>
  <c r="H68" i="20"/>
  <c r="J68" i="20" s="1"/>
  <c r="H67" i="20"/>
  <c r="J67" i="20" s="1"/>
  <c r="H66" i="20"/>
  <c r="J66" i="20" s="1"/>
  <c r="H65" i="20"/>
  <c r="J65" i="20" s="1"/>
  <c r="H64" i="20"/>
  <c r="J64" i="20" s="1"/>
  <c r="H63" i="20"/>
  <c r="J63" i="20" s="1"/>
  <c r="H62" i="20"/>
  <c r="J62" i="20" s="1"/>
  <c r="H61" i="20"/>
  <c r="J61" i="20" s="1"/>
  <c r="H56" i="20"/>
  <c r="J56" i="20" s="1"/>
  <c r="H55" i="20"/>
  <c r="J55" i="20" s="1"/>
  <c r="H54" i="20"/>
  <c r="J54" i="20" s="1"/>
  <c r="H53" i="20"/>
  <c r="J53" i="20" s="1"/>
  <c r="H52" i="20"/>
  <c r="J52" i="20" s="1"/>
  <c r="H51" i="20"/>
  <c r="J51" i="20" s="1"/>
  <c r="H50" i="20"/>
  <c r="J50" i="20" s="1"/>
  <c r="H49" i="20"/>
  <c r="J49" i="20" s="1"/>
  <c r="H14" i="20"/>
  <c r="J14" i="20" s="1"/>
  <c r="H13" i="20"/>
  <c r="J13" i="20" s="1"/>
  <c r="H12" i="20"/>
  <c r="J12" i="20" s="1"/>
  <c r="H11" i="20"/>
  <c r="J11" i="20" s="1"/>
  <c r="H10" i="20"/>
  <c r="J10" i="20" s="1"/>
  <c r="H9" i="20"/>
  <c r="J9" i="20" s="1"/>
  <c r="D70" i="20"/>
  <c r="I70" i="20"/>
  <c r="G70" i="20"/>
  <c r="N70" i="20"/>
  <c r="L70" i="20"/>
  <c r="D58" i="20"/>
  <c r="I58" i="20"/>
  <c r="G58" i="20"/>
  <c r="N58" i="20"/>
  <c r="L58" i="20"/>
  <c r="D16" i="20"/>
  <c r="I16" i="20"/>
  <c r="G16" i="20"/>
  <c r="N16" i="20"/>
  <c r="L16" i="20"/>
  <c r="M68" i="20"/>
  <c r="O68" i="20" s="1"/>
  <c r="M67" i="20"/>
  <c r="O67" i="20" s="1"/>
  <c r="M66" i="20"/>
  <c r="O66" i="20" s="1"/>
  <c r="M65" i="20"/>
  <c r="O65" i="20" s="1"/>
  <c r="M64" i="20"/>
  <c r="O64" i="20" s="1"/>
  <c r="M63" i="20"/>
  <c r="O63" i="20" s="1"/>
  <c r="M62" i="20"/>
  <c r="O62" i="20" s="1"/>
  <c r="M61" i="20"/>
  <c r="O61" i="20" s="1"/>
  <c r="M56" i="20"/>
  <c r="O56" i="20" s="1"/>
  <c r="M55" i="20"/>
  <c r="O55" i="20" s="1"/>
  <c r="M54" i="20"/>
  <c r="O54" i="20" s="1"/>
  <c r="M53" i="20"/>
  <c r="O53" i="20" s="1"/>
  <c r="M52" i="20"/>
  <c r="O52" i="20" s="1"/>
  <c r="M51" i="20"/>
  <c r="O51" i="20" s="1"/>
  <c r="M50" i="20"/>
  <c r="O50" i="20" s="1"/>
  <c r="M49" i="20"/>
  <c r="O49" i="20" s="1"/>
  <c r="M14" i="20"/>
  <c r="O14" i="20" s="1"/>
  <c r="M13" i="20"/>
  <c r="O13" i="20" s="1"/>
  <c r="M12" i="20"/>
  <c r="O12" i="20" s="1"/>
  <c r="M11" i="20"/>
  <c r="O11" i="20" s="1"/>
  <c r="M10" i="20"/>
  <c r="O10" i="20" s="1"/>
  <c r="M9" i="20"/>
  <c r="O9" i="20" s="1"/>
  <c r="F68" i="20"/>
  <c r="F67" i="20"/>
  <c r="F66" i="20"/>
  <c r="F65" i="20"/>
  <c r="F64" i="20"/>
  <c r="F63" i="20"/>
  <c r="F62" i="20"/>
  <c r="F61" i="20"/>
  <c r="F56" i="20"/>
  <c r="F55" i="20"/>
  <c r="F54" i="20"/>
  <c r="F53" i="20"/>
  <c r="F52" i="20"/>
  <c r="F51" i="20"/>
  <c r="F50" i="20"/>
  <c r="F49" i="20"/>
  <c r="F14" i="20"/>
  <c r="F13" i="20"/>
  <c r="F12" i="20"/>
  <c r="F11" i="20"/>
  <c r="F10" i="20"/>
  <c r="F9" i="20"/>
  <c r="C68" i="20"/>
  <c r="C67" i="20"/>
  <c r="C66" i="20"/>
  <c r="C65" i="20"/>
  <c r="C64" i="20"/>
  <c r="C63" i="20"/>
  <c r="C62" i="20"/>
  <c r="C61" i="20"/>
  <c r="C56" i="20"/>
  <c r="C55" i="20"/>
  <c r="C54" i="20"/>
  <c r="C53" i="20"/>
  <c r="C52" i="20"/>
  <c r="C51" i="20"/>
  <c r="C50" i="20"/>
  <c r="C49" i="20"/>
  <c r="C14" i="20"/>
  <c r="C13" i="20"/>
  <c r="C12" i="20"/>
  <c r="C11" i="20"/>
  <c r="C10" i="20"/>
  <c r="C9" i="20"/>
  <c r="G24" i="19"/>
  <c r="M13" i="14"/>
  <c r="O13" i="14" s="1"/>
  <c r="H13" i="14"/>
  <c r="J13" i="14" s="1"/>
  <c r="F13" i="14"/>
  <c r="C13" i="14"/>
  <c r="N11" i="14"/>
  <c r="N15" i="14" s="1"/>
  <c r="P21" i="19" s="1"/>
  <c r="L11" i="14"/>
  <c r="L15" i="14" s="1"/>
  <c r="N21" i="19" s="1"/>
  <c r="I11" i="14"/>
  <c r="I15" i="14" s="1"/>
  <c r="K21" i="19" s="1"/>
  <c r="G11" i="14"/>
  <c r="G15" i="14" s="1"/>
  <c r="I21" i="19" s="1"/>
  <c r="D11" i="14"/>
  <c r="D15" i="14" s="1"/>
  <c r="E21" i="19" s="1"/>
  <c r="C17" i="14"/>
  <c r="C34" i="16"/>
  <c r="D9" i="16" s="1"/>
  <c r="M30" i="16"/>
  <c r="O30" i="16" s="1"/>
  <c r="M26" i="16"/>
  <c r="O26" i="16" s="1"/>
  <c r="M22" i="16"/>
  <c r="O22" i="16" s="1"/>
  <c r="M21" i="16"/>
  <c r="O21" i="16" s="1"/>
  <c r="M20" i="16"/>
  <c r="O20" i="16" s="1"/>
  <c r="M19" i="16"/>
  <c r="M18" i="16"/>
  <c r="O18" i="16" s="1"/>
  <c r="M17" i="16"/>
  <c r="O17" i="16" s="1"/>
  <c r="M16" i="16"/>
  <c r="O16" i="16" s="1"/>
  <c r="I24" i="16"/>
  <c r="G24" i="16"/>
  <c r="N24" i="16"/>
  <c r="L24" i="16"/>
  <c r="C30" i="16"/>
  <c r="C26" i="16"/>
  <c r="C21" i="16"/>
  <c r="C20" i="16"/>
  <c r="F30" i="16"/>
  <c r="F26" i="16"/>
  <c r="F22" i="16"/>
  <c r="F21" i="16"/>
  <c r="F20" i="16"/>
  <c r="F19" i="16"/>
  <c r="F18" i="16"/>
  <c r="F17" i="16"/>
  <c r="F16" i="16"/>
  <c r="H30" i="16"/>
  <c r="J30" i="16" s="1"/>
  <c r="H26" i="16"/>
  <c r="J26" i="16" s="1"/>
  <c r="H22" i="16"/>
  <c r="J22" i="16" s="1"/>
  <c r="H21" i="16"/>
  <c r="J21" i="16" s="1"/>
  <c r="H20" i="16"/>
  <c r="J20" i="16" s="1"/>
  <c r="H19" i="16"/>
  <c r="J19" i="16" s="1"/>
  <c r="H18" i="16"/>
  <c r="J18" i="16" s="1"/>
  <c r="H17" i="16"/>
  <c r="J17" i="16" s="1"/>
  <c r="H16" i="16"/>
  <c r="J16" i="16" s="1"/>
  <c r="M11" i="16"/>
  <c r="O11" i="16" s="1"/>
  <c r="H11" i="16"/>
  <c r="J11" i="16" s="1"/>
  <c r="F11" i="16"/>
  <c r="D11" i="13"/>
  <c r="D11" i="15"/>
  <c r="C32" i="15"/>
  <c r="D20" i="15" s="1"/>
  <c r="C20" i="15" s="1"/>
  <c r="M11" i="15"/>
  <c r="O11" i="15" s="1"/>
  <c r="F28" i="15"/>
  <c r="F22" i="15"/>
  <c r="F21" i="15"/>
  <c r="F20" i="15"/>
  <c r="F19" i="15"/>
  <c r="F18" i="15"/>
  <c r="F17" i="15"/>
  <c r="F16" i="15"/>
  <c r="C28" i="15"/>
  <c r="C21" i="15"/>
  <c r="I24" i="15"/>
  <c r="G24" i="15"/>
  <c r="N24" i="15"/>
  <c r="L24" i="15"/>
  <c r="M28" i="15"/>
  <c r="O28" i="15" s="1"/>
  <c r="M22" i="15"/>
  <c r="O22" i="15" s="1"/>
  <c r="M21" i="15"/>
  <c r="O21" i="15" s="1"/>
  <c r="M20" i="15"/>
  <c r="O20" i="15" s="1"/>
  <c r="M19" i="15"/>
  <c r="O19" i="15" s="1"/>
  <c r="M18" i="15"/>
  <c r="O18" i="15" s="1"/>
  <c r="M17" i="15"/>
  <c r="O17" i="15" s="1"/>
  <c r="M16" i="15"/>
  <c r="H28" i="15"/>
  <c r="J28" i="15" s="1"/>
  <c r="H22" i="15"/>
  <c r="J22" i="15" s="1"/>
  <c r="H21" i="15"/>
  <c r="J21" i="15" s="1"/>
  <c r="H20" i="15"/>
  <c r="J20" i="15" s="1"/>
  <c r="H19" i="15"/>
  <c r="J19" i="15" s="1"/>
  <c r="H18" i="15"/>
  <c r="J18" i="15" s="1"/>
  <c r="H17" i="15"/>
  <c r="J17" i="15" s="1"/>
  <c r="H16" i="15"/>
  <c r="J16" i="15" s="1"/>
  <c r="H11" i="15"/>
  <c r="J11" i="15" s="1"/>
  <c r="F11" i="15"/>
  <c r="C43" i="13"/>
  <c r="D17" i="13" s="1"/>
  <c r="F39" i="13"/>
  <c r="F35" i="13"/>
  <c r="F31" i="13"/>
  <c r="F30" i="13"/>
  <c r="F29" i="13"/>
  <c r="F24" i="13"/>
  <c r="F23" i="13"/>
  <c r="F22" i="13"/>
  <c r="F21" i="13"/>
  <c r="F20" i="13"/>
  <c r="F19" i="13"/>
  <c r="F18" i="13"/>
  <c r="F17" i="13"/>
  <c r="F16" i="13"/>
  <c r="I33" i="13"/>
  <c r="G33" i="13"/>
  <c r="N33" i="13"/>
  <c r="L33" i="13"/>
  <c r="M39" i="13"/>
  <c r="O39" i="13" s="1"/>
  <c r="M35" i="13"/>
  <c r="O35" i="13" s="1"/>
  <c r="M31" i="13"/>
  <c r="M30" i="13"/>
  <c r="M29" i="13"/>
  <c r="M24" i="13"/>
  <c r="M23" i="13"/>
  <c r="M22" i="13"/>
  <c r="O22" i="13" s="1"/>
  <c r="M21" i="13"/>
  <c r="O21" i="13" s="1"/>
  <c r="M20" i="13"/>
  <c r="O20" i="13" s="1"/>
  <c r="M19" i="13"/>
  <c r="O19" i="13" s="1"/>
  <c r="M18" i="13"/>
  <c r="O18" i="13" s="1"/>
  <c r="M17" i="13"/>
  <c r="O17" i="13" s="1"/>
  <c r="M16" i="13"/>
  <c r="O31" i="13"/>
  <c r="O30" i="13"/>
  <c r="O29" i="13"/>
  <c r="O24" i="13"/>
  <c r="O23" i="13"/>
  <c r="O16" i="13"/>
  <c r="I26" i="13"/>
  <c r="G26" i="13"/>
  <c r="N26" i="13"/>
  <c r="L26" i="13"/>
  <c r="H39" i="13"/>
  <c r="J39" i="13" s="1"/>
  <c r="H35" i="13"/>
  <c r="J35" i="13" s="1"/>
  <c r="H31" i="13"/>
  <c r="J31" i="13" s="1"/>
  <c r="H30" i="13"/>
  <c r="J30" i="13" s="1"/>
  <c r="H29" i="13"/>
  <c r="J29" i="13" s="1"/>
  <c r="H24" i="13"/>
  <c r="J24" i="13" s="1"/>
  <c r="H23" i="13"/>
  <c r="J23" i="13" s="1"/>
  <c r="H22" i="13"/>
  <c r="J22" i="13" s="1"/>
  <c r="H21" i="13"/>
  <c r="J21" i="13" s="1"/>
  <c r="H20" i="13"/>
  <c r="J20" i="13" s="1"/>
  <c r="H19" i="13"/>
  <c r="J19" i="13" s="1"/>
  <c r="H18" i="13"/>
  <c r="J18" i="13" s="1"/>
  <c r="H17" i="13"/>
  <c r="J17" i="13" s="1"/>
  <c r="H16" i="13"/>
  <c r="J16" i="13" s="1"/>
  <c r="F26" i="13" l="1"/>
  <c r="D30" i="13"/>
  <c r="D33" i="13" s="1"/>
  <c r="C21" i="19"/>
  <c r="M18" i="22"/>
  <c r="R20" i="22"/>
  <c r="M16" i="22"/>
  <c r="M17" i="22"/>
  <c r="G14" i="22"/>
  <c r="G9" i="22"/>
  <c r="M12" i="22"/>
  <c r="M10" i="22"/>
  <c r="M11" i="22"/>
  <c r="M15" i="22"/>
  <c r="M13" i="22"/>
  <c r="M14" i="22"/>
  <c r="D12" i="6"/>
  <c r="C12" i="6" s="1"/>
  <c r="D48" i="6"/>
  <c r="C48" i="6" s="1"/>
  <c r="M8" i="22"/>
  <c r="M7" i="22"/>
  <c r="M5" i="22"/>
  <c r="M9" i="22"/>
  <c r="M6" i="22"/>
  <c r="D25" i="20"/>
  <c r="D38" i="20"/>
  <c r="C10" i="8"/>
  <c r="D10" i="6"/>
  <c r="C10" i="6" s="1"/>
  <c r="D37" i="6"/>
  <c r="D50" i="6"/>
  <c r="C50" i="6" s="1"/>
  <c r="D20" i="6"/>
  <c r="D49" i="6"/>
  <c r="C49" i="6" s="1"/>
  <c r="M26" i="13"/>
  <c r="F33" i="13"/>
  <c r="M24" i="15"/>
  <c r="C9" i="8"/>
  <c r="D11" i="6"/>
  <c r="D47" i="6"/>
  <c r="C47" i="6" s="1"/>
  <c r="L20" i="22"/>
  <c r="J20" i="22"/>
  <c r="Q20" i="22"/>
  <c r="T22" i="22" s="1"/>
  <c r="O15" i="6"/>
  <c r="O33" i="6"/>
  <c r="N65" i="6"/>
  <c r="N69" i="6" s="1"/>
  <c r="P9" i="19" s="1"/>
  <c r="G65" i="6"/>
  <c r="G69" i="6" s="1"/>
  <c r="I9" i="19" s="1"/>
  <c r="F63" i="6"/>
  <c r="F43" i="6"/>
  <c r="L65" i="6"/>
  <c r="L69" i="6" s="1"/>
  <c r="N9" i="19" s="1"/>
  <c r="G5" i="22"/>
  <c r="H16" i="8"/>
  <c r="J10" i="19" s="1"/>
  <c r="J9" i="8"/>
  <c r="J16" i="8" s="1"/>
  <c r="L10" i="19" s="1"/>
  <c r="F16" i="8"/>
  <c r="H10" i="19" s="1"/>
  <c r="O16" i="8"/>
  <c r="Q10" i="19" s="1"/>
  <c r="M16" i="8"/>
  <c r="O10" i="19" s="1"/>
  <c r="J43" i="6"/>
  <c r="J33" i="6"/>
  <c r="I65" i="6"/>
  <c r="I69" i="6" s="1"/>
  <c r="K9" i="19" s="1"/>
  <c r="O57" i="6"/>
  <c r="F26" i="6"/>
  <c r="C33" i="6"/>
  <c r="J57" i="6"/>
  <c r="C63" i="6"/>
  <c r="O63" i="6"/>
  <c r="F15" i="6"/>
  <c r="J26" i="6"/>
  <c r="F33" i="6"/>
  <c r="O43" i="6"/>
  <c r="J15" i="6"/>
  <c r="J63" i="6"/>
  <c r="F57" i="6"/>
  <c r="O26" i="6"/>
  <c r="M26" i="6"/>
  <c r="M63" i="6"/>
  <c r="M15" i="6"/>
  <c r="H26" i="6"/>
  <c r="M57" i="6"/>
  <c r="H63" i="6"/>
  <c r="H15" i="6"/>
  <c r="H33" i="6"/>
  <c r="M43" i="6"/>
  <c r="H57" i="6"/>
  <c r="M33" i="6"/>
  <c r="H43" i="6"/>
  <c r="C67" i="6"/>
  <c r="L72" i="20"/>
  <c r="L76" i="20" s="1"/>
  <c r="N8" i="19" s="1"/>
  <c r="N72" i="20"/>
  <c r="N76" i="20" s="1"/>
  <c r="P8" i="19" s="1"/>
  <c r="I72" i="20"/>
  <c r="I76" i="20" s="1"/>
  <c r="K8" i="19" s="1"/>
  <c r="G72" i="20"/>
  <c r="G76" i="20" s="1"/>
  <c r="I8" i="19" s="1"/>
  <c r="F35" i="20"/>
  <c r="F46" i="20"/>
  <c r="C35" i="20"/>
  <c r="F27" i="20"/>
  <c r="O46" i="20"/>
  <c r="O35" i="20"/>
  <c r="O27" i="20"/>
  <c r="J58" i="20"/>
  <c r="C16" i="20"/>
  <c r="C58" i="20"/>
  <c r="F58" i="20"/>
  <c r="F70" i="20"/>
  <c r="H27" i="20"/>
  <c r="H46" i="20"/>
  <c r="J70" i="20"/>
  <c r="M35" i="20"/>
  <c r="C70" i="20"/>
  <c r="H35" i="20"/>
  <c r="H16" i="20"/>
  <c r="H58" i="20"/>
  <c r="H70" i="20"/>
  <c r="M27" i="20"/>
  <c r="M46" i="20"/>
  <c r="J46" i="20"/>
  <c r="J35" i="20"/>
  <c r="J27" i="20"/>
  <c r="F16" i="20"/>
  <c r="J16" i="20"/>
  <c r="O70" i="20"/>
  <c r="O58" i="20"/>
  <c r="O16" i="20"/>
  <c r="M58" i="20"/>
  <c r="M16" i="20"/>
  <c r="M70" i="20"/>
  <c r="O33" i="13"/>
  <c r="M33" i="13"/>
  <c r="F24" i="15"/>
  <c r="D9" i="13"/>
  <c r="D16" i="13"/>
  <c r="D10" i="13"/>
  <c r="D18" i="13"/>
  <c r="D19" i="13"/>
  <c r="D20" i="13"/>
  <c r="D18" i="15"/>
  <c r="C18" i="15" s="1"/>
  <c r="D10" i="15"/>
  <c r="D19" i="15"/>
  <c r="C19" i="15" s="1"/>
  <c r="D17" i="15"/>
  <c r="C17" i="15" s="1"/>
  <c r="D9" i="15"/>
  <c r="D16" i="15"/>
  <c r="C16" i="15" s="1"/>
  <c r="D16" i="16"/>
  <c r="C16" i="16" s="1"/>
  <c r="D17" i="16"/>
  <c r="C17" i="16" s="1"/>
  <c r="D18" i="16"/>
  <c r="C18" i="16" s="1"/>
  <c r="D19" i="16"/>
  <c r="C19" i="16" s="1"/>
  <c r="F24" i="16"/>
  <c r="M24" i="16"/>
  <c r="O19" i="16"/>
  <c r="O24" i="16" s="1"/>
  <c r="J24" i="16"/>
  <c r="H24" i="16"/>
  <c r="O16" i="15"/>
  <c r="O24" i="15" s="1"/>
  <c r="J24" i="15"/>
  <c r="H24" i="15"/>
  <c r="J33" i="13"/>
  <c r="J26" i="13"/>
  <c r="H33" i="13"/>
  <c r="O26" i="13"/>
  <c r="H26" i="13"/>
  <c r="D15" i="6" l="1"/>
  <c r="C16" i="8"/>
  <c r="C20" i="6"/>
  <c r="C26" i="6" s="1"/>
  <c r="D26" i="6"/>
  <c r="C38" i="20"/>
  <c r="C46" i="20" s="1"/>
  <c r="D46" i="20"/>
  <c r="C37" i="6"/>
  <c r="C43" i="6" s="1"/>
  <c r="D43" i="6"/>
  <c r="C11" i="6"/>
  <c r="C15" i="6" s="1"/>
  <c r="D16" i="8"/>
  <c r="E10" i="19" s="1"/>
  <c r="C10" i="19" s="1"/>
  <c r="D10" i="19"/>
  <c r="M20" i="22"/>
  <c r="O65" i="6"/>
  <c r="O69" i="6" s="1"/>
  <c r="Q9" i="19" s="1"/>
  <c r="F65" i="6"/>
  <c r="F69" i="6" s="1"/>
  <c r="H9" i="19" s="1"/>
  <c r="H65" i="6"/>
  <c r="H69" i="6" s="1"/>
  <c r="J9" i="19" s="1"/>
  <c r="J65" i="6"/>
  <c r="J69" i="6" s="1"/>
  <c r="L9" i="19" s="1"/>
  <c r="M65" i="6"/>
  <c r="M69" i="6" s="1"/>
  <c r="O9" i="19" s="1"/>
  <c r="J72" i="20"/>
  <c r="J76" i="20" s="1"/>
  <c r="L8" i="19" s="1"/>
  <c r="H72" i="20"/>
  <c r="H76" i="20" s="1"/>
  <c r="J8" i="19" s="1"/>
  <c r="F72" i="20"/>
  <c r="F76" i="20" s="1"/>
  <c r="H8" i="19" s="1"/>
  <c r="O72" i="20"/>
  <c r="O76" i="20" s="1"/>
  <c r="Q8" i="19" s="1"/>
  <c r="M72" i="20"/>
  <c r="M76" i="20" s="1"/>
  <c r="O8" i="19" s="1"/>
  <c r="Q16" i="8" l="1"/>
  <c r="S10" i="19" s="1"/>
  <c r="T10" i="19"/>
  <c r="U10" i="19" l="1"/>
  <c r="C39" i="13"/>
  <c r="C35" i="13"/>
  <c r="C23" i="13"/>
  <c r="C22" i="13"/>
  <c r="C21" i="13"/>
  <c r="C20" i="13"/>
  <c r="C19" i="13"/>
  <c r="C18" i="13"/>
  <c r="C17" i="13"/>
  <c r="C16" i="13"/>
  <c r="M11" i="13"/>
  <c r="O11" i="13" s="1"/>
  <c r="H11" i="13"/>
  <c r="J11" i="13" s="1"/>
  <c r="F11" i="13"/>
  <c r="D11" i="12"/>
  <c r="H31" i="12"/>
  <c r="J31" i="12" s="1"/>
  <c r="H27" i="12"/>
  <c r="J27" i="12" s="1"/>
  <c r="H23" i="12"/>
  <c r="J23" i="12" s="1"/>
  <c r="H22" i="12"/>
  <c r="J22" i="12" s="1"/>
  <c r="H21" i="12"/>
  <c r="J21" i="12" s="1"/>
  <c r="H20" i="12"/>
  <c r="J20" i="12" s="1"/>
  <c r="H19" i="12"/>
  <c r="J19" i="12" s="1"/>
  <c r="H18" i="12"/>
  <c r="J18" i="12" s="1"/>
  <c r="H17" i="12"/>
  <c r="J17" i="12" s="1"/>
  <c r="H16" i="12"/>
  <c r="J16" i="12" s="1"/>
  <c r="F31" i="12"/>
  <c r="F27" i="12"/>
  <c r="F23" i="12"/>
  <c r="F22" i="12"/>
  <c r="F21" i="12"/>
  <c r="F20" i="12"/>
  <c r="F19" i="12"/>
  <c r="F18" i="12"/>
  <c r="F17" i="12"/>
  <c r="F16" i="12"/>
  <c r="C31" i="12"/>
  <c r="C27" i="12"/>
  <c r="C22" i="12"/>
  <c r="C21" i="12"/>
  <c r="C16" i="12"/>
  <c r="H11" i="12"/>
  <c r="J11" i="12" s="1"/>
  <c r="F11" i="12"/>
  <c r="M11" i="12"/>
  <c r="O11" i="12" s="1"/>
  <c r="I25" i="12"/>
  <c r="G25" i="12"/>
  <c r="N25" i="12"/>
  <c r="L25" i="12"/>
  <c r="M31" i="12"/>
  <c r="O31" i="12" s="1"/>
  <c r="M27" i="12"/>
  <c r="O27" i="12" s="1"/>
  <c r="M22" i="12"/>
  <c r="O22" i="12" s="1"/>
  <c r="M21" i="12"/>
  <c r="O21" i="12" s="1"/>
  <c r="M20" i="12"/>
  <c r="O20" i="12" s="1"/>
  <c r="M19" i="12"/>
  <c r="O19" i="12" s="1"/>
  <c r="M18" i="12"/>
  <c r="O18" i="12" s="1"/>
  <c r="M17" i="12"/>
  <c r="O17" i="12" s="1"/>
  <c r="M16" i="12"/>
  <c r="O16" i="12" s="1"/>
  <c r="C35" i="12"/>
  <c r="D17" i="12" s="1"/>
  <c r="D11" i="4"/>
  <c r="C11" i="4" s="1"/>
  <c r="D11" i="21"/>
  <c r="D11" i="11"/>
  <c r="C11" i="11" s="1"/>
  <c r="N13" i="16"/>
  <c r="N28" i="16" s="1"/>
  <c r="N32" i="16" s="1"/>
  <c r="P22" i="19" s="1"/>
  <c r="L13" i="16"/>
  <c r="L28" i="16" s="1"/>
  <c r="L32" i="16" s="1"/>
  <c r="N22" i="19" s="1"/>
  <c r="I13" i="16"/>
  <c r="I28" i="16" s="1"/>
  <c r="I32" i="16" s="1"/>
  <c r="K22" i="19" s="1"/>
  <c r="G13" i="16"/>
  <c r="G28" i="16" s="1"/>
  <c r="G32" i="16" s="1"/>
  <c r="I22" i="19" s="1"/>
  <c r="D13" i="16"/>
  <c r="C11" i="16"/>
  <c r="M10" i="16"/>
  <c r="O10" i="16" s="1"/>
  <c r="H10" i="16"/>
  <c r="J10" i="16" s="1"/>
  <c r="F10" i="16"/>
  <c r="C10" i="16"/>
  <c r="M9" i="16"/>
  <c r="O9" i="16" s="1"/>
  <c r="H9" i="16"/>
  <c r="F9" i="16"/>
  <c r="C9" i="16"/>
  <c r="M8" i="16"/>
  <c r="O8" i="16" s="1"/>
  <c r="H8" i="16"/>
  <c r="J8" i="16" s="1"/>
  <c r="F8" i="16"/>
  <c r="C8" i="16"/>
  <c r="M9" i="14"/>
  <c r="O9" i="14" s="1"/>
  <c r="H9" i="14"/>
  <c r="J9" i="14" s="1"/>
  <c r="F9" i="14"/>
  <c r="C9" i="14"/>
  <c r="M8" i="14"/>
  <c r="H8" i="14"/>
  <c r="J8" i="14" s="1"/>
  <c r="F8" i="14"/>
  <c r="C8" i="14"/>
  <c r="N13" i="15"/>
  <c r="N26" i="15" s="1"/>
  <c r="N30" i="15" s="1"/>
  <c r="P20" i="19" s="1"/>
  <c r="L13" i="15"/>
  <c r="L26" i="15" s="1"/>
  <c r="L30" i="15" s="1"/>
  <c r="N20" i="19" s="1"/>
  <c r="I13" i="15"/>
  <c r="I26" i="15" s="1"/>
  <c r="I30" i="15" s="1"/>
  <c r="K20" i="19" s="1"/>
  <c r="G13" i="15"/>
  <c r="G26" i="15" s="1"/>
  <c r="G30" i="15" s="1"/>
  <c r="I20" i="19" s="1"/>
  <c r="D13" i="15"/>
  <c r="C11" i="15"/>
  <c r="M10" i="15"/>
  <c r="O10" i="15" s="1"/>
  <c r="H10" i="15"/>
  <c r="J10" i="15" s="1"/>
  <c r="F10" i="15"/>
  <c r="C10" i="15"/>
  <c r="M9" i="15"/>
  <c r="O9" i="15" s="1"/>
  <c r="H9" i="15"/>
  <c r="J9" i="15" s="1"/>
  <c r="F9" i="15"/>
  <c r="C9" i="15"/>
  <c r="M8" i="15"/>
  <c r="O8" i="15" s="1"/>
  <c r="H8" i="15"/>
  <c r="J8" i="15" s="1"/>
  <c r="F8" i="15"/>
  <c r="C8" i="15"/>
  <c r="N13" i="13"/>
  <c r="N37" i="13" s="1"/>
  <c r="N41" i="13" s="1"/>
  <c r="P19" i="19" s="1"/>
  <c r="L13" i="13"/>
  <c r="L37" i="13" s="1"/>
  <c r="L41" i="13" s="1"/>
  <c r="N19" i="19" s="1"/>
  <c r="I13" i="13"/>
  <c r="I37" i="13" s="1"/>
  <c r="I41" i="13" s="1"/>
  <c r="K19" i="19" s="1"/>
  <c r="G13" i="13"/>
  <c r="G37" i="13" s="1"/>
  <c r="G41" i="13" s="1"/>
  <c r="I19" i="19" s="1"/>
  <c r="D13" i="13"/>
  <c r="C11" i="13"/>
  <c r="M10" i="13"/>
  <c r="O10" i="13" s="1"/>
  <c r="H10" i="13"/>
  <c r="J10" i="13" s="1"/>
  <c r="F10" i="13"/>
  <c r="C10" i="13"/>
  <c r="M9" i="13"/>
  <c r="O9" i="13" s="1"/>
  <c r="H9" i="13"/>
  <c r="J9" i="13" s="1"/>
  <c r="F9" i="13"/>
  <c r="C9" i="13"/>
  <c r="M8" i="13"/>
  <c r="O8" i="13" s="1"/>
  <c r="H8" i="13"/>
  <c r="F8" i="13"/>
  <c r="C8" i="13"/>
  <c r="N13" i="12"/>
  <c r="L13" i="12"/>
  <c r="L29" i="12" s="1"/>
  <c r="L33" i="12" s="1"/>
  <c r="N18" i="19" s="1"/>
  <c r="I13" i="12"/>
  <c r="G13" i="12"/>
  <c r="C11" i="12"/>
  <c r="M10" i="12"/>
  <c r="O10" i="12" s="1"/>
  <c r="H10" i="12"/>
  <c r="J10" i="12" s="1"/>
  <c r="F10" i="12"/>
  <c r="M9" i="12"/>
  <c r="O9" i="12" s="1"/>
  <c r="H9" i="12"/>
  <c r="J9" i="12" s="1"/>
  <c r="F9" i="12"/>
  <c r="M8" i="12"/>
  <c r="O8" i="12" s="1"/>
  <c r="H8" i="12"/>
  <c r="J8" i="12" s="1"/>
  <c r="F8" i="12"/>
  <c r="C8" i="12"/>
  <c r="M11" i="11"/>
  <c r="O11" i="11" s="1"/>
  <c r="F11" i="11"/>
  <c r="H11" i="11"/>
  <c r="J11" i="11" s="1"/>
  <c r="C34" i="11"/>
  <c r="D16" i="11" s="1"/>
  <c r="M30" i="11"/>
  <c r="M26" i="11"/>
  <c r="M22" i="11"/>
  <c r="M21" i="11"/>
  <c r="M20" i="11"/>
  <c r="M19" i="11"/>
  <c r="M18" i="11"/>
  <c r="M17" i="11"/>
  <c r="M16" i="11"/>
  <c r="I24" i="11"/>
  <c r="G24" i="11"/>
  <c r="O24" i="11"/>
  <c r="N24" i="11"/>
  <c r="L24" i="11"/>
  <c r="H30" i="11"/>
  <c r="J30" i="11" s="1"/>
  <c r="H26" i="11"/>
  <c r="J26" i="11" s="1"/>
  <c r="H22" i="11"/>
  <c r="J22" i="11" s="1"/>
  <c r="H21" i="11"/>
  <c r="J21" i="11" s="1"/>
  <c r="H20" i="11"/>
  <c r="J20" i="11" s="1"/>
  <c r="H19" i="11"/>
  <c r="J19" i="11" s="1"/>
  <c r="H18" i="11"/>
  <c r="J18" i="11" s="1"/>
  <c r="H17" i="11"/>
  <c r="J17" i="11" s="1"/>
  <c r="H16" i="11"/>
  <c r="J16" i="11" s="1"/>
  <c r="F30" i="11"/>
  <c r="F26" i="11"/>
  <c r="F22" i="11"/>
  <c r="F21" i="11"/>
  <c r="F20" i="11"/>
  <c r="F19" i="11"/>
  <c r="F18" i="11"/>
  <c r="F17" i="11"/>
  <c r="F16" i="11"/>
  <c r="C30" i="11"/>
  <c r="C26" i="11"/>
  <c r="C22" i="11"/>
  <c r="C20" i="11"/>
  <c r="N13" i="11"/>
  <c r="L13" i="11"/>
  <c r="I13" i="11"/>
  <c r="G13" i="11"/>
  <c r="M10" i="11"/>
  <c r="O10" i="11" s="1"/>
  <c r="H10" i="11"/>
  <c r="J10" i="11" s="1"/>
  <c r="F10" i="11"/>
  <c r="M9" i="11"/>
  <c r="O9" i="11" s="1"/>
  <c r="H9" i="11"/>
  <c r="J9" i="11" s="1"/>
  <c r="F9" i="11"/>
  <c r="M8" i="11"/>
  <c r="O8" i="11" s="1"/>
  <c r="H8" i="11"/>
  <c r="J8" i="11" s="1"/>
  <c r="F8" i="11"/>
  <c r="C8" i="11"/>
  <c r="H11" i="21"/>
  <c r="J11" i="21" s="1"/>
  <c r="F11" i="21"/>
  <c r="H30" i="21"/>
  <c r="J30" i="21" s="1"/>
  <c r="H26" i="21"/>
  <c r="J26" i="21" s="1"/>
  <c r="H22" i="21"/>
  <c r="J22" i="21" s="1"/>
  <c r="H21" i="21"/>
  <c r="J21" i="21" s="1"/>
  <c r="H20" i="21"/>
  <c r="J20" i="21" s="1"/>
  <c r="H19" i="21"/>
  <c r="J19" i="21" s="1"/>
  <c r="H18" i="21"/>
  <c r="J18" i="21" s="1"/>
  <c r="H17" i="21"/>
  <c r="J17" i="21" s="1"/>
  <c r="H16" i="21"/>
  <c r="J16" i="21" s="1"/>
  <c r="F30" i="21"/>
  <c r="F26" i="21"/>
  <c r="F22" i="21"/>
  <c r="F21" i="21"/>
  <c r="F20" i="21"/>
  <c r="F19" i="21"/>
  <c r="F18" i="21"/>
  <c r="F17" i="21"/>
  <c r="F16" i="21"/>
  <c r="C30" i="21"/>
  <c r="C26" i="21"/>
  <c r="C21" i="21"/>
  <c r="C20" i="21"/>
  <c r="M22" i="1"/>
  <c r="O22" i="1" s="1"/>
  <c r="M21" i="1"/>
  <c r="O21" i="1" s="1"/>
  <c r="H22" i="1"/>
  <c r="H21" i="1"/>
  <c r="J21" i="1" s="1"/>
  <c r="C13" i="2"/>
  <c r="I24" i="21"/>
  <c r="G24" i="21"/>
  <c r="N24" i="21"/>
  <c r="L24" i="21"/>
  <c r="M30" i="21"/>
  <c r="O30" i="21" s="1"/>
  <c r="M26" i="21"/>
  <c r="O26" i="21" s="1"/>
  <c r="M22" i="21"/>
  <c r="O22" i="21" s="1"/>
  <c r="M21" i="21"/>
  <c r="O21" i="21" s="1"/>
  <c r="M20" i="21"/>
  <c r="O20" i="21" s="1"/>
  <c r="M19" i="21"/>
  <c r="O19" i="21" s="1"/>
  <c r="M18" i="21"/>
  <c r="O18" i="21" s="1"/>
  <c r="M17" i="21"/>
  <c r="O17" i="21" s="1"/>
  <c r="M16" i="21"/>
  <c r="C34" i="21"/>
  <c r="D19" i="21" s="1"/>
  <c r="C19" i="21" s="1"/>
  <c r="N13" i="21"/>
  <c r="L13" i="21"/>
  <c r="I13" i="21"/>
  <c r="I28" i="21" s="1"/>
  <c r="G13" i="21"/>
  <c r="C11" i="21"/>
  <c r="M10" i="21"/>
  <c r="O10" i="21" s="1"/>
  <c r="H10" i="21"/>
  <c r="J10" i="21" s="1"/>
  <c r="F10" i="21"/>
  <c r="M9" i="21"/>
  <c r="O9" i="21" s="1"/>
  <c r="H9" i="21"/>
  <c r="J9" i="21" s="1"/>
  <c r="F9" i="21"/>
  <c r="M8" i="21"/>
  <c r="H8" i="21"/>
  <c r="J8" i="21" s="1"/>
  <c r="F8" i="21"/>
  <c r="C8" i="21"/>
  <c r="D11" i="9"/>
  <c r="H11" i="9"/>
  <c r="F11" i="9"/>
  <c r="M11" i="9"/>
  <c r="O11" i="9" s="1"/>
  <c r="C37" i="9"/>
  <c r="I27" i="9"/>
  <c r="G27" i="9"/>
  <c r="N27" i="9"/>
  <c r="L27" i="9"/>
  <c r="C33" i="9"/>
  <c r="C29" i="9"/>
  <c r="C24" i="9"/>
  <c r="C23" i="9"/>
  <c r="C22" i="9"/>
  <c r="C21" i="9"/>
  <c r="F33" i="9"/>
  <c r="F29" i="9"/>
  <c r="F25" i="9"/>
  <c r="F24" i="9"/>
  <c r="F23" i="9"/>
  <c r="F22" i="9"/>
  <c r="F21" i="9"/>
  <c r="F20" i="9"/>
  <c r="F19" i="9"/>
  <c r="F18" i="9"/>
  <c r="F17" i="9"/>
  <c r="F16" i="9"/>
  <c r="H33" i="9"/>
  <c r="H29" i="9"/>
  <c r="H25" i="9"/>
  <c r="J25" i="9" s="1"/>
  <c r="H24" i="9"/>
  <c r="J24" i="9" s="1"/>
  <c r="H23" i="9"/>
  <c r="J23" i="9" s="1"/>
  <c r="H22" i="9"/>
  <c r="J22" i="9" s="1"/>
  <c r="H21" i="9"/>
  <c r="J21" i="9" s="1"/>
  <c r="H20" i="9"/>
  <c r="J20" i="9" s="1"/>
  <c r="H19" i="9"/>
  <c r="J19" i="9" s="1"/>
  <c r="H18" i="9"/>
  <c r="J18" i="9" s="1"/>
  <c r="H17" i="9"/>
  <c r="J17" i="9" s="1"/>
  <c r="H16" i="9"/>
  <c r="M25" i="9"/>
  <c r="O25" i="9" s="1"/>
  <c r="M24" i="9"/>
  <c r="O24" i="9" s="1"/>
  <c r="M23" i="9"/>
  <c r="O23" i="9" s="1"/>
  <c r="M22" i="9"/>
  <c r="O22" i="9" s="1"/>
  <c r="M21" i="9"/>
  <c r="O21" i="9" s="1"/>
  <c r="M20" i="9"/>
  <c r="O20" i="9" s="1"/>
  <c r="M19" i="9"/>
  <c r="O19" i="9" s="1"/>
  <c r="M18" i="9"/>
  <c r="O18" i="9" s="1"/>
  <c r="M17" i="9"/>
  <c r="O17" i="9" s="1"/>
  <c r="M16" i="9"/>
  <c r="M33" i="9"/>
  <c r="O33" i="9" s="1"/>
  <c r="M29" i="9"/>
  <c r="O29" i="9" s="1"/>
  <c r="N13" i="9"/>
  <c r="N31" i="9" s="1"/>
  <c r="N35" i="9" s="1"/>
  <c r="P15" i="19" s="1"/>
  <c r="L13" i="9"/>
  <c r="L31" i="9" s="1"/>
  <c r="L35" i="9" s="1"/>
  <c r="N15" i="19" s="1"/>
  <c r="I13" i="9"/>
  <c r="G13" i="9"/>
  <c r="J11" i="9"/>
  <c r="C11" i="9"/>
  <c r="M10" i="9"/>
  <c r="O10" i="9" s="1"/>
  <c r="H10" i="9"/>
  <c r="J10" i="9" s="1"/>
  <c r="F10" i="9"/>
  <c r="M9" i="9"/>
  <c r="O9" i="9" s="1"/>
  <c r="H9" i="9"/>
  <c r="J9" i="9" s="1"/>
  <c r="F9" i="9"/>
  <c r="M8" i="9"/>
  <c r="H8" i="9"/>
  <c r="F8" i="9"/>
  <c r="C8" i="9"/>
  <c r="H11" i="4"/>
  <c r="J11" i="4" s="1"/>
  <c r="H29" i="4"/>
  <c r="J29" i="4" s="1"/>
  <c r="H25" i="4"/>
  <c r="J25" i="4" s="1"/>
  <c r="M21" i="3"/>
  <c r="O21" i="3" s="1"/>
  <c r="M11" i="3"/>
  <c r="O11" i="3" s="1"/>
  <c r="H11" i="3"/>
  <c r="J11" i="3" s="1"/>
  <c r="F11" i="3"/>
  <c r="H21" i="4"/>
  <c r="J21" i="4" s="1"/>
  <c r="C33" i="4"/>
  <c r="F29" i="4"/>
  <c r="F25" i="4"/>
  <c r="F21" i="4"/>
  <c r="F20" i="4"/>
  <c r="F19" i="4"/>
  <c r="F18" i="4"/>
  <c r="F17" i="4"/>
  <c r="F16" i="4"/>
  <c r="F11" i="4"/>
  <c r="C29" i="4"/>
  <c r="C25" i="4"/>
  <c r="C20" i="4"/>
  <c r="M11" i="4"/>
  <c r="O11" i="4" s="1"/>
  <c r="M29" i="4"/>
  <c r="O29" i="4" s="1"/>
  <c r="M25" i="4"/>
  <c r="O25" i="4" s="1"/>
  <c r="M21" i="4"/>
  <c r="O21" i="4" s="1"/>
  <c r="M20" i="4"/>
  <c r="O20" i="4" s="1"/>
  <c r="M19" i="4"/>
  <c r="O19" i="4" s="1"/>
  <c r="M18" i="4"/>
  <c r="M17" i="4"/>
  <c r="O17" i="4" s="1"/>
  <c r="M16" i="4"/>
  <c r="O16" i="4" s="1"/>
  <c r="I23" i="4"/>
  <c r="G23" i="4"/>
  <c r="N23" i="4"/>
  <c r="L23" i="4"/>
  <c r="H20" i="4"/>
  <c r="J20" i="4" s="1"/>
  <c r="H19" i="4"/>
  <c r="J19" i="4" s="1"/>
  <c r="H18" i="4"/>
  <c r="J18" i="4" s="1"/>
  <c r="H17" i="4"/>
  <c r="J17" i="4" s="1"/>
  <c r="H16" i="4"/>
  <c r="N13" i="4"/>
  <c r="L13" i="4"/>
  <c r="I13" i="4"/>
  <c r="G13" i="4"/>
  <c r="M10" i="4"/>
  <c r="O10" i="4" s="1"/>
  <c r="H10" i="4"/>
  <c r="J10" i="4" s="1"/>
  <c r="F10" i="4"/>
  <c r="M9" i="4"/>
  <c r="O9" i="4" s="1"/>
  <c r="H9" i="4"/>
  <c r="F9" i="4"/>
  <c r="M8" i="4"/>
  <c r="O8" i="4" s="1"/>
  <c r="H8" i="4"/>
  <c r="J8" i="4" s="1"/>
  <c r="F8" i="4"/>
  <c r="C8" i="4"/>
  <c r="N13" i="1"/>
  <c r="L13" i="1"/>
  <c r="I13" i="1"/>
  <c r="G13" i="1"/>
  <c r="H21" i="3"/>
  <c r="J21" i="3" s="1"/>
  <c r="F21" i="3"/>
  <c r="C33" i="3"/>
  <c r="D11" i="3"/>
  <c r="C11" i="3" s="1"/>
  <c r="C29" i="3"/>
  <c r="C25" i="3"/>
  <c r="N23" i="3"/>
  <c r="L23" i="3"/>
  <c r="I23" i="3"/>
  <c r="G23" i="3"/>
  <c r="C20" i="3"/>
  <c r="N13" i="3"/>
  <c r="L13" i="3"/>
  <c r="I13" i="3"/>
  <c r="G13" i="3"/>
  <c r="C8" i="3"/>
  <c r="H29" i="3"/>
  <c r="J29" i="3" s="1"/>
  <c r="H25" i="3"/>
  <c r="J25" i="3" s="1"/>
  <c r="H20" i="3"/>
  <c r="J20" i="3" s="1"/>
  <c r="H19" i="3"/>
  <c r="J19" i="3" s="1"/>
  <c r="H18" i="3"/>
  <c r="J18" i="3" s="1"/>
  <c r="H17" i="3"/>
  <c r="J17" i="3" s="1"/>
  <c r="H16" i="3"/>
  <c r="J16" i="3" s="1"/>
  <c r="H10" i="3"/>
  <c r="J10" i="3" s="1"/>
  <c r="H9" i="3"/>
  <c r="J9" i="3" s="1"/>
  <c r="H8" i="3"/>
  <c r="J8" i="3" s="1"/>
  <c r="F29" i="3"/>
  <c r="F25" i="3"/>
  <c r="F20" i="3"/>
  <c r="F19" i="3"/>
  <c r="F18" i="3"/>
  <c r="F17" i="3"/>
  <c r="F16" i="3"/>
  <c r="F9" i="3"/>
  <c r="F10" i="3"/>
  <c r="F8" i="3"/>
  <c r="M29" i="3"/>
  <c r="O29" i="3" s="1"/>
  <c r="M25" i="3"/>
  <c r="O25" i="3" s="1"/>
  <c r="M20" i="3"/>
  <c r="O20" i="3" s="1"/>
  <c r="M19" i="3"/>
  <c r="O19" i="3" s="1"/>
  <c r="M18" i="3"/>
  <c r="O18" i="3" s="1"/>
  <c r="M17" i="3"/>
  <c r="O17" i="3" s="1"/>
  <c r="M16" i="3"/>
  <c r="O16" i="3" s="1"/>
  <c r="M10" i="3"/>
  <c r="O10" i="3" s="1"/>
  <c r="M9" i="3"/>
  <c r="M8" i="3"/>
  <c r="O8" i="3" s="1"/>
  <c r="C17" i="2"/>
  <c r="C32" i="1"/>
  <c r="D18" i="1" s="1"/>
  <c r="C18" i="1" s="1"/>
  <c r="M9" i="2"/>
  <c r="O9" i="2" s="1"/>
  <c r="H9" i="2"/>
  <c r="J9" i="2" s="1"/>
  <c r="F9" i="2"/>
  <c r="H13" i="2"/>
  <c r="J13" i="2" s="1"/>
  <c r="F13" i="2"/>
  <c r="C9" i="2"/>
  <c r="C8" i="2"/>
  <c r="I11" i="2"/>
  <c r="I15" i="2" s="1"/>
  <c r="K12" i="19" s="1"/>
  <c r="G11" i="2"/>
  <c r="G15" i="2" s="1"/>
  <c r="I12" i="19" s="1"/>
  <c r="D11" i="2"/>
  <c r="D15" i="2" s="1"/>
  <c r="E12" i="19" s="1"/>
  <c r="H8" i="2"/>
  <c r="H11" i="2" s="1"/>
  <c r="F8" i="2"/>
  <c r="N11" i="2"/>
  <c r="N15" i="2" s="1"/>
  <c r="P12" i="19" s="1"/>
  <c r="L11" i="2"/>
  <c r="L15" i="2" s="1"/>
  <c r="N12" i="19" s="1"/>
  <c r="O13" i="2"/>
  <c r="M8" i="2"/>
  <c r="O8" i="2" s="1"/>
  <c r="D11" i="1"/>
  <c r="F28" i="1"/>
  <c r="F22" i="1"/>
  <c r="F21" i="1"/>
  <c r="F20" i="1"/>
  <c r="F19" i="1"/>
  <c r="F18" i="1"/>
  <c r="F17" i="1"/>
  <c r="F16" i="1"/>
  <c r="F10" i="1"/>
  <c r="F9" i="1"/>
  <c r="F8" i="1"/>
  <c r="M28" i="1"/>
  <c r="O28" i="1" s="1"/>
  <c r="M20" i="1"/>
  <c r="O20" i="1" s="1"/>
  <c r="M19" i="1"/>
  <c r="O19" i="1" s="1"/>
  <c r="M18" i="1"/>
  <c r="O18" i="1" s="1"/>
  <c r="M17" i="1"/>
  <c r="O17" i="1" s="1"/>
  <c r="M16" i="1"/>
  <c r="O16" i="1" s="1"/>
  <c r="L24" i="1"/>
  <c r="N24" i="1"/>
  <c r="M10" i="1"/>
  <c r="O10" i="1" s="1"/>
  <c r="M9" i="1"/>
  <c r="O9" i="1" s="1"/>
  <c r="M8" i="1"/>
  <c r="O8" i="1" s="1"/>
  <c r="I24" i="1"/>
  <c r="G24" i="1"/>
  <c r="G26" i="1" s="1"/>
  <c r="J22" i="1"/>
  <c r="J11" i="1"/>
  <c r="C22" i="1"/>
  <c r="C20" i="1"/>
  <c r="C11" i="1"/>
  <c r="C8" i="1"/>
  <c r="H28" i="1"/>
  <c r="J28" i="1" s="1"/>
  <c r="H20" i="1"/>
  <c r="J20" i="1" s="1"/>
  <c r="H19" i="1"/>
  <c r="J19" i="1" s="1"/>
  <c r="H18" i="1"/>
  <c r="J18" i="1" s="1"/>
  <c r="H17" i="1"/>
  <c r="J17" i="1" s="1"/>
  <c r="H16" i="1"/>
  <c r="H10" i="1"/>
  <c r="J10" i="1" s="1"/>
  <c r="H9" i="1"/>
  <c r="J9" i="1" s="1"/>
  <c r="H8" i="1"/>
  <c r="H13" i="1" l="1"/>
  <c r="I26" i="1"/>
  <c r="C12" i="19"/>
  <c r="D18" i="9"/>
  <c r="C18" i="9" s="1"/>
  <c r="D10" i="9"/>
  <c r="C10" i="9" s="1"/>
  <c r="F25" i="12"/>
  <c r="D9" i="4"/>
  <c r="D16" i="4"/>
  <c r="C16" i="4" s="1"/>
  <c r="C11" i="2"/>
  <c r="C15" i="2" s="1"/>
  <c r="D12" i="19" s="1"/>
  <c r="N26" i="1"/>
  <c r="F13" i="1"/>
  <c r="C28" i="1"/>
  <c r="O13" i="1"/>
  <c r="L26" i="1"/>
  <c r="L30" i="1" s="1"/>
  <c r="N11" i="19" s="1"/>
  <c r="D19" i="3"/>
  <c r="C19" i="3" s="1"/>
  <c r="D16" i="3"/>
  <c r="C16" i="3" s="1"/>
  <c r="D10" i="3"/>
  <c r="C10" i="3" s="1"/>
  <c r="D9" i="3"/>
  <c r="C9" i="3" s="1"/>
  <c r="M24" i="21"/>
  <c r="L28" i="11"/>
  <c r="L32" i="11" s="1"/>
  <c r="N17" i="19" s="1"/>
  <c r="D19" i="1"/>
  <c r="C19" i="1" s="1"/>
  <c r="M13" i="1"/>
  <c r="I28" i="11"/>
  <c r="I32" i="11" s="1"/>
  <c r="K17" i="19" s="1"/>
  <c r="F24" i="11"/>
  <c r="I29" i="12"/>
  <c r="I33" i="12" s="1"/>
  <c r="K18" i="19" s="1"/>
  <c r="M13" i="9"/>
  <c r="M27" i="9"/>
  <c r="H27" i="9"/>
  <c r="L28" i="21"/>
  <c r="L32" i="21" s="1"/>
  <c r="N16" i="19" s="1"/>
  <c r="J16" i="9"/>
  <c r="J27" i="9" s="1"/>
  <c r="H24" i="21"/>
  <c r="F11" i="2"/>
  <c r="F15" i="2" s="1"/>
  <c r="H12" i="19" s="1"/>
  <c r="G31" i="9"/>
  <c r="G35" i="9" s="1"/>
  <c r="I15" i="19" s="1"/>
  <c r="N28" i="21"/>
  <c r="N32" i="21" s="1"/>
  <c r="P16" i="19" s="1"/>
  <c r="N28" i="11"/>
  <c r="N32" i="11" s="1"/>
  <c r="P17" i="19" s="1"/>
  <c r="J24" i="11"/>
  <c r="N29" i="12"/>
  <c r="N33" i="12" s="1"/>
  <c r="P18" i="19" s="1"/>
  <c r="H13" i="9"/>
  <c r="I31" i="9"/>
  <c r="I35" i="9" s="1"/>
  <c r="K15" i="19" s="1"/>
  <c r="O16" i="9"/>
  <c r="O27" i="9" s="1"/>
  <c r="G28" i="21"/>
  <c r="G28" i="11"/>
  <c r="G32" i="11" s="1"/>
  <c r="I17" i="19" s="1"/>
  <c r="F11" i="14"/>
  <c r="F15" i="14" s="1"/>
  <c r="H21" i="19" s="1"/>
  <c r="H25" i="12"/>
  <c r="D17" i="9"/>
  <c r="C17" i="9" s="1"/>
  <c r="D9" i="9"/>
  <c r="C19" i="9"/>
  <c r="D19" i="4"/>
  <c r="C19" i="4" s="1"/>
  <c r="D17" i="11"/>
  <c r="C17" i="11" s="1"/>
  <c r="D18" i="12"/>
  <c r="C18" i="12" s="1"/>
  <c r="D16" i="9"/>
  <c r="C16" i="9" s="1"/>
  <c r="D20" i="9"/>
  <c r="C20" i="9" s="1"/>
  <c r="D9" i="11"/>
  <c r="D18" i="11"/>
  <c r="C18" i="11" s="1"/>
  <c r="D9" i="12"/>
  <c r="D19" i="12"/>
  <c r="C19" i="12" s="1"/>
  <c r="D17" i="4"/>
  <c r="D10" i="11"/>
  <c r="C10" i="11" s="1"/>
  <c r="D19" i="11"/>
  <c r="C19" i="11" s="1"/>
  <c r="D10" i="12"/>
  <c r="C10" i="12" s="1"/>
  <c r="D20" i="12"/>
  <c r="C20" i="12" s="1"/>
  <c r="D18" i="4"/>
  <c r="C18" i="4" s="1"/>
  <c r="O8" i="14"/>
  <c r="O11" i="14" s="1"/>
  <c r="O15" i="14" s="1"/>
  <c r="Q21" i="19" s="1"/>
  <c r="M11" i="14"/>
  <c r="M15" i="14" s="1"/>
  <c r="O21" i="19" s="1"/>
  <c r="C11" i="14"/>
  <c r="C15" i="14" s="1"/>
  <c r="J11" i="14"/>
  <c r="J15" i="14" s="1"/>
  <c r="L21" i="19" s="1"/>
  <c r="H11" i="14"/>
  <c r="H15" i="14" s="1"/>
  <c r="J21" i="19" s="1"/>
  <c r="H13" i="16"/>
  <c r="H28" i="16" s="1"/>
  <c r="H32" i="16" s="1"/>
  <c r="J22" i="19" s="1"/>
  <c r="F13" i="16"/>
  <c r="F28" i="16" s="1"/>
  <c r="F32" i="16" s="1"/>
  <c r="H22" i="19" s="1"/>
  <c r="C13" i="16"/>
  <c r="C13" i="15"/>
  <c r="F13" i="15"/>
  <c r="F26" i="15" s="1"/>
  <c r="F30" i="15" s="1"/>
  <c r="H20" i="19" s="1"/>
  <c r="H13" i="15"/>
  <c r="H26" i="15" s="1"/>
  <c r="H30" i="15" s="1"/>
  <c r="J20" i="19" s="1"/>
  <c r="J13" i="15"/>
  <c r="J26" i="15" s="1"/>
  <c r="J30" i="15" s="1"/>
  <c r="L20" i="19" s="1"/>
  <c r="H13" i="13"/>
  <c r="H37" i="13" s="1"/>
  <c r="H41" i="13" s="1"/>
  <c r="J19" i="19" s="1"/>
  <c r="J8" i="13"/>
  <c r="J13" i="13" s="1"/>
  <c r="J37" i="13" s="1"/>
  <c r="J41" i="13" s="1"/>
  <c r="L19" i="19" s="1"/>
  <c r="F13" i="13"/>
  <c r="F37" i="13" s="1"/>
  <c r="F41" i="13" s="1"/>
  <c r="H19" i="19" s="1"/>
  <c r="C13" i="13"/>
  <c r="C17" i="12"/>
  <c r="G29" i="12"/>
  <c r="G33" i="12" s="1"/>
  <c r="I18" i="19" s="1"/>
  <c r="J25" i="12"/>
  <c r="M25" i="12"/>
  <c r="O25" i="12"/>
  <c r="H13" i="12"/>
  <c r="H29" i="12" s="1"/>
  <c r="H33" i="12" s="1"/>
  <c r="J18" i="19" s="1"/>
  <c r="J13" i="12"/>
  <c r="J29" i="12" s="1"/>
  <c r="J33" i="12" s="1"/>
  <c r="L18" i="19" s="1"/>
  <c r="F13" i="12"/>
  <c r="O13" i="16"/>
  <c r="O28" i="16" s="1"/>
  <c r="O32" i="16" s="1"/>
  <c r="Q22" i="19" s="1"/>
  <c r="M13" i="16"/>
  <c r="M28" i="16" s="1"/>
  <c r="M32" i="16" s="1"/>
  <c r="O22" i="19" s="1"/>
  <c r="J9" i="16"/>
  <c r="J13" i="16" s="1"/>
  <c r="J28" i="16" s="1"/>
  <c r="J32" i="16" s="1"/>
  <c r="L22" i="19" s="1"/>
  <c r="O13" i="15"/>
  <c r="O26" i="15" s="1"/>
  <c r="O30" i="15" s="1"/>
  <c r="Q20" i="19" s="1"/>
  <c r="M13" i="15"/>
  <c r="M26" i="15" s="1"/>
  <c r="M30" i="15" s="1"/>
  <c r="O20" i="19" s="1"/>
  <c r="O13" i="13"/>
  <c r="O37" i="13" s="1"/>
  <c r="O41" i="13" s="1"/>
  <c r="Q19" i="19" s="1"/>
  <c r="M13" i="13"/>
  <c r="M37" i="13" s="1"/>
  <c r="M41" i="13" s="1"/>
  <c r="O19" i="19" s="1"/>
  <c r="O13" i="12"/>
  <c r="M13" i="12"/>
  <c r="M29" i="12" s="1"/>
  <c r="M33" i="12" s="1"/>
  <c r="O18" i="19" s="1"/>
  <c r="C16" i="11"/>
  <c r="J13" i="11"/>
  <c r="H24" i="11"/>
  <c r="M24" i="11"/>
  <c r="F13" i="11"/>
  <c r="F28" i="11" s="1"/>
  <c r="F32" i="11" s="1"/>
  <c r="H17" i="19" s="1"/>
  <c r="O13" i="11"/>
  <c r="O28" i="11" s="1"/>
  <c r="O32" i="11" s="1"/>
  <c r="Q17" i="19" s="1"/>
  <c r="H13" i="11"/>
  <c r="H28" i="11" s="1"/>
  <c r="H32" i="11" s="1"/>
  <c r="J17" i="19" s="1"/>
  <c r="M13" i="11"/>
  <c r="D16" i="21"/>
  <c r="O16" i="21"/>
  <c r="O24" i="21" s="1"/>
  <c r="F24" i="21"/>
  <c r="D17" i="21"/>
  <c r="C17" i="21" s="1"/>
  <c r="D9" i="21"/>
  <c r="D18" i="21"/>
  <c r="C18" i="21" s="1"/>
  <c r="D10" i="21"/>
  <c r="C10" i="21" s="1"/>
  <c r="I32" i="21"/>
  <c r="K16" i="19" s="1"/>
  <c r="G32" i="21"/>
  <c r="I16" i="19" s="1"/>
  <c r="J24" i="21"/>
  <c r="J13" i="21"/>
  <c r="F24" i="1"/>
  <c r="M13" i="21"/>
  <c r="M28" i="21" s="1"/>
  <c r="M32" i="21" s="1"/>
  <c r="O16" i="19" s="1"/>
  <c r="F13" i="21"/>
  <c r="F28" i="21" s="1"/>
  <c r="F32" i="21" s="1"/>
  <c r="H16" i="19" s="1"/>
  <c r="H13" i="21"/>
  <c r="O8" i="21"/>
  <c r="O13" i="21" s="1"/>
  <c r="M31" i="9"/>
  <c r="M35" i="9" s="1"/>
  <c r="O15" i="19" s="1"/>
  <c r="F27" i="9"/>
  <c r="O8" i="9"/>
  <c r="O13" i="9" s="1"/>
  <c r="F13" i="9"/>
  <c r="J8" i="9"/>
  <c r="J13" i="9" s="1"/>
  <c r="D10" i="4"/>
  <c r="C10" i="4" s="1"/>
  <c r="H13" i="4"/>
  <c r="C9" i="4"/>
  <c r="G27" i="4"/>
  <c r="G31" i="4" s="1"/>
  <c r="I14" i="19" s="1"/>
  <c r="H23" i="4"/>
  <c r="M23" i="4"/>
  <c r="I27" i="4"/>
  <c r="I31" i="4" s="1"/>
  <c r="K14" i="19" s="1"/>
  <c r="F23" i="4"/>
  <c r="L27" i="4"/>
  <c r="L31" i="4" s="1"/>
  <c r="N14" i="19" s="1"/>
  <c r="O18" i="4"/>
  <c r="O23" i="4" s="1"/>
  <c r="J16" i="4"/>
  <c r="J23" i="4" s="1"/>
  <c r="N27" i="4"/>
  <c r="N31" i="4" s="1"/>
  <c r="P14" i="19" s="1"/>
  <c r="F13" i="4"/>
  <c r="O13" i="4"/>
  <c r="M13" i="4"/>
  <c r="J9" i="4"/>
  <c r="J13" i="4" s="1"/>
  <c r="D9" i="1"/>
  <c r="C9" i="1" s="1"/>
  <c r="D16" i="1"/>
  <c r="C16" i="1" s="1"/>
  <c r="I27" i="3"/>
  <c r="I31" i="3" s="1"/>
  <c r="K13" i="19" s="1"/>
  <c r="F13" i="3"/>
  <c r="F23" i="3"/>
  <c r="J13" i="3"/>
  <c r="N27" i="3"/>
  <c r="N31" i="3" s="1"/>
  <c r="P13" i="19" s="1"/>
  <c r="J23" i="3"/>
  <c r="H23" i="3"/>
  <c r="O23" i="3"/>
  <c r="M13" i="3"/>
  <c r="H13" i="3"/>
  <c r="D17" i="3"/>
  <c r="D18" i="3"/>
  <c r="C18" i="3" s="1"/>
  <c r="M23" i="3"/>
  <c r="G27" i="3"/>
  <c r="G31" i="3" s="1"/>
  <c r="I13" i="19" s="1"/>
  <c r="L27" i="3"/>
  <c r="L31" i="3" s="1"/>
  <c r="N13" i="19" s="1"/>
  <c r="O9" i="3"/>
  <c r="O13" i="3" s="1"/>
  <c r="D17" i="1"/>
  <c r="C17" i="1" s="1"/>
  <c r="D10" i="1"/>
  <c r="C10" i="1" s="1"/>
  <c r="H15" i="2"/>
  <c r="J12" i="19" s="1"/>
  <c r="J8" i="2"/>
  <c r="J11" i="2" s="1"/>
  <c r="J15" i="2" s="1"/>
  <c r="L12" i="19" s="1"/>
  <c r="O11" i="2"/>
  <c r="O15" i="2" s="1"/>
  <c r="Q12" i="19" s="1"/>
  <c r="M11" i="2"/>
  <c r="M15" i="2" s="1"/>
  <c r="O12" i="19" s="1"/>
  <c r="O24" i="1"/>
  <c r="M24" i="1"/>
  <c r="N30" i="1"/>
  <c r="P11" i="19" s="1"/>
  <c r="I30" i="1"/>
  <c r="K11" i="19" s="1"/>
  <c r="H24" i="1"/>
  <c r="H26" i="1" s="1"/>
  <c r="J8" i="1"/>
  <c r="J13" i="1" s="1"/>
  <c r="J16" i="1"/>
  <c r="H28" i="21" l="1"/>
  <c r="H32" i="21" s="1"/>
  <c r="J16" i="19" s="1"/>
  <c r="H31" i="9"/>
  <c r="H35" i="9" s="1"/>
  <c r="J15" i="19" s="1"/>
  <c r="C13" i="3"/>
  <c r="H27" i="3"/>
  <c r="H31" i="3" s="1"/>
  <c r="J13" i="19" s="1"/>
  <c r="O31" i="9"/>
  <c r="O35" i="9" s="1"/>
  <c r="Q15" i="19" s="1"/>
  <c r="O26" i="1"/>
  <c r="D13" i="3"/>
  <c r="H27" i="4"/>
  <c r="H31" i="4" s="1"/>
  <c r="J14" i="19" s="1"/>
  <c r="F29" i="12"/>
  <c r="F33" i="12" s="1"/>
  <c r="H18" i="19" s="1"/>
  <c r="F20" i="22"/>
  <c r="G7" i="22"/>
  <c r="G20" i="22" s="1"/>
  <c r="M26" i="1"/>
  <c r="F26" i="1"/>
  <c r="F30" i="1" s="1"/>
  <c r="H11" i="19" s="1"/>
  <c r="J28" i="11"/>
  <c r="J32" i="11" s="1"/>
  <c r="L17" i="19" s="1"/>
  <c r="T12" i="19"/>
  <c r="N24" i="19"/>
  <c r="D37" i="19" s="1"/>
  <c r="E37" i="19" s="1"/>
  <c r="P24" i="19"/>
  <c r="K24" i="19"/>
  <c r="F27" i="3"/>
  <c r="F31" i="3" s="1"/>
  <c r="H13" i="19" s="1"/>
  <c r="O29" i="12"/>
  <c r="O33" i="12" s="1"/>
  <c r="Q18" i="19" s="1"/>
  <c r="O28" i="21"/>
  <c r="O32" i="21" s="1"/>
  <c r="Q16" i="19" s="1"/>
  <c r="J31" i="9"/>
  <c r="J35" i="9" s="1"/>
  <c r="L15" i="19" s="1"/>
  <c r="Q15" i="2"/>
  <c r="S12" i="19" s="1"/>
  <c r="F31" i="9"/>
  <c r="F35" i="9" s="1"/>
  <c r="H15" i="19" s="1"/>
  <c r="J28" i="21"/>
  <c r="Q15" i="14"/>
  <c r="S21" i="19" s="1"/>
  <c r="D21" i="19"/>
  <c r="T21" i="19" s="1"/>
  <c r="C13" i="4"/>
  <c r="D13" i="4"/>
  <c r="C13" i="1"/>
  <c r="D13" i="1"/>
  <c r="C17" i="4"/>
  <c r="D13" i="11"/>
  <c r="C9" i="11"/>
  <c r="C13" i="11" s="1"/>
  <c r="C9" i="12"/>
  <c r="C13" i="12" s="1"/>
  <c r="D13" i="12"/>
  <c r="M28" i="11"/>
  <c r="M32" i="11" s="1"/>
  <c r="O17" i="19" s="1"/>
  <c r="C16" i="21"/>
  <c r="J32" i="21"/>
  <c r="L16" i="19" s="1"/>
  <c r="O27" i="4"/>
  <c r="O31" i="4" s="1"/>
  <c r="Q14" i="19" s="1"/>
  <c r="M27" i="4"/>
  <c r="M31" i="4" s="1"/>
  <c r="O14" i="19" s="1"/>
  <c r="J27" i="4"/>
  <c r="J31" i="4" s="1"/>
  <c r="L14" i="19" s="1"/>
  <c r="F27" i="4"/>
  <c r="F31" i="4" s="1"/>
  <c r="H14" i="19" s="1"/>
  <c r="J27" i="3"/>
  <c r="J31" i="3" s="1"/>
  <c r="L13" i="19" s="1"/>
  <c r="C17" i="3"/>
  <c r="M27" i="3"/>
  <c r="M31" i="3" s="1"/>
  <c r="O13" i="19" s="1"/>
  <c r="O27" i="3"/>
  <c r="O31" i="3" s="1"/>
  <c r="Q13" i="19" s="1"/>
  <c r="M30" i="1"/>
  <c r="O11" i="19" s="1"/>
  <c r="O30" i="1"/>
  <c r="Q11" i="19" s="1"/>
  <c r="H30" i="1"/>
  <c r="J11" i="19" s="1"/>
  <c r="J24" i="1"/>
  <c r="J24" i="19" l="1"/>
  <c r="H24" i="19"/>
  <c r="U12" i="19"/>
  <c r="O24" i="19"/>
  <c r="Q24" i="19"/>
  <c r="U21" i="19"/>
  <c r="J26" i="1"/>
  <c r="J30" i="1" s="1"/>
  <c r="L11" i="19" s="1"/>
  <c r="L24" i="19" s="1"/>
  <c r="G30" i="1" l="1"/>
  <c r="D13" i="9"/>
  <c r="C9" i="9"/>
  <c r="C13" i="9" s="1"/>
  <c r="D13" i="21"/>
  <c r="C9" i="21"/>
  <c r="C13" i="21" s="1"/>
  <c r="C29" i="13"/>
  <c r="C31" i="13"/>
  <c r="C30" i="13"/>
  <c r="I11" i="19" l="1"/>
  <c r="C33" i="13"/>
  <c r="I24" i="19" l="1"/>
  <c r="D36" i="19" s="1"/>
  <c r="E36" i="19" s="1"/>
  <c r="D27" i="20" l="1"/>
  <c r="D72" i="20" s="1"/>
  <c r="D76" i="20" s="1"/>
  <c r="E8" i="19" s="1"/>
  <c r="C25" i="20"/>
  <c r="C27" i="20" s="1"/>
  <c r="C72" i="20" s="1"/>
  <c r="C76" i="20" s="1"/>
  <c r="Q76" i="20" s="1"/>
  <c r="C8" i="19" l="1"/>
  <c r="D8" i="19"/>
  <c r="S8" i="19"/>
  <c r="T8" i="19" l="1"/>
  <c r="U8" i="19" s="1"/>
  <c r="V20" i="22"/>
  <c r="V2" i="22" s="1"/>
  <c r="W13" i="22" l="1"/>
  <c r="D21" i="11" s="1"/>
  <c r="W12" i="22"/>
  <c r="D22" i="21" s="1"/>
  <c r="W15" i="22"/>
  <c r="D24" i="13" s="1"/>
  <c r="W11" i="22"/>
  <c r="D25" i="9" s="1"/>
  <c r="W6" i="22"/>
  <c r="W14" i="22"/>
  <c r="D23" i="12" s="1"/>
  <c r="W10" i="22"/>
  <c r="D21" i="4" s="1"/>
  <c r="W18" i="22"/>
  <c r="D22" i="16" s="1"/>
  <c r="W9" i="22"/>
  <c r="D21" i="3" s="1"/>
  <c r="W16" i="22"/>
  <c r="D22" i="15" s="1"/>
  <c r="W7" i="22"/>
  <c r="D21" i="1" s="1"/>
  <c r="C21" i="1" l="1"/>
  <c r="C24" i="1" s="1"/>
  <c r="C26" i="1" s="1"/>
  <c r="C30" i="1" s="1"/>
  <c r="D24" i="1"/>
  <c r="D26" i="1" s="1"/>
  <c r="D30" i="1" s="1"/>
  <c r="E11" i="19" s="1"/>
  <c r="C22" i="16"/>
  <c r="C24" i="16" s="1"/>
  <c r="C28" i="16" s="1"/>
  <c r="C32" i="16" s="1"/>
  <c r="D24" i="16"/>
  <c r="D28" i="16" s="1"/>
  <c r="D32" i="16" s="1"/>
  <c r="E22" i="19" s="1"/>
  <c r="C22" i="15"/>
  <c r="C24" i="15" s="1"/>
  <c r="C26" i="15" s="1"/>
  <c r="C30" i="15" s="1"/>
  <c r="D24" i="15"/>
  <c r="D26" i="15" s="1"/>
  <c r="D30" i="15" s="1"/>
  <c r="E20" i="19" s="1"/>
  <c r="C25" i="9"/>
  <c r="C27" i="9" s="1"/>
  <c r="C31" i="9" s="1"/>
  <c r="C35" i="9" s="1"/>
  <c r="D27" i="9"/>
  <c r="D31" i="9" s="1"/>
  <c r="D35" i="9" s="1"/>
  <c r="E15" i="19" s="1"/>
  <c r="C21" i="4"/>
  <c r="C23" i="4" s="1"/>
  <c r="C27" i="4" s="1"/>
  <c r="C31" i="4" s="1"/>
  <c r="D23" i="4"/>
  <c r="D27" i="4" s="1"/>
  <c r="D31" i="4" s="1"/>
  <c r="E14" i="19" s="1"/>
  <c r="D26" i="13"/>
  <c r="D37" i="13" s="1"/>
  <c r="D41" i="13" s="1"/>
  <c r="E19" i="19" s="1"/>
  <c r="C24" i="13"/>
  <c r="C26" i="13" s="1"/>
  <c r="C37" i="13" s="1"/>
  <c r="C41" i="13" s="1"/>
  <c r="C23" i="12"/>
  <c r="C25" i="12" s="1"/>
  <c r="C29" i="12" s="1"/>
  <c r="C33" i="12" s="1"/>
  <c r="D25" i="12"/>
  <c r="D29" i="12" s="1"/>
  <c r="D33" i="12" s="1"/>
  <c r="E18" i="19" s="1"/>
  <c r="C22" i="21"/>
  <c r="C24" i="21" s="1"/>
  <c r="C28" i="21" s="1"/>
  <c r="C32" i="21" s="1"/>
  <c r="D24" i="21"/>
  <c r="D28" i="21" s="1"/>
  <c r="D32" i="21" s="1"/>
  <c r="E16" i="19" s="1"/>
  <c r="C21" i="3"/>
  <c r="C23" i="3" s="1"/>
  <c r="C27" i="3" s="1"/>
  <c r="C31" i="3" s="1"/>
  <c r="D23" i="3"/>
  <c r="D27" i="3" s="1"/>
  <c r="D31" i="3" s="1"/>
  <c r="E13" i="19" s="1"/>
  <c r="C21" i="11"/>
  <c r="C24" i="11" s="1"/>
  <c r="C28" i="11" s="1"/>
  <c r="C32" i="11" s="1"/>
  <c r="D24" i="11"/>
  <c r="D28" i="11" s="1"/>
  <c r="D32" i="11" s="1"/>
  <c r="E17" i="19" s="1"/>
  <c r="W20" i="22"/>
  <c r="D55" i="6"/>
  <c r="C22" i="19" l="1"/>
  <c r="C20" i="19"/>
  <c r="C19" i="19"/>
  <c r="C18" i="19"/>
  <c r="C17" i="19"/>
  <c r="C16" i="19"/>
  <c r="C15" i="19"/>
  <c r="C14" i="19"/>
  <c r="C11" i="19"/>
  <c r="C13" i="19"/>
  <c r="D19" i="19"/>
  <c r="T19" i="19" s="1"/>
  <c r="Q41" i="13"/>
  <c r="S19" i="19" s="1"/>
  <c r="D17" i="19"/>
  <c r="T17" i="19" s="1"/>
  <c r="Q32" i="11"/>
  <c r="S17" i="19" s="1"/>
  <c r="Q32" i="21"/>
  <c r="S16" i="19" s="1"/>
  <c r="D16" i="19"/>
  <c r="T16" i="19" s="1"/>
  <c r="D15" i="19"/>
  <c r="T15" i="19" s="1"/>
  <c r="Q35" i="9"/>
  <c r="S15" i="19" s="1"/>
  <c r="Q32" i="16"/>
  <c r="S22" i="19" s="1"/>
  <c r="D22" i="19"/>
  <c r="T22" i="19" s="1"/>
  <c r="Q31" i="3"/>
  <c r="S13" i="19" s="1"/>
  <c r="D13" i="19"/>
  <c r="T13" i="19" s="1"/>
  <c r="D18" i="19"/>
  <c r="T18" i="19" s="1"/>
  <c r="Q33" i="12"/>
  <c r="S18" i="19" s="1"/>
  <c r="D14" i="19"/>
  <c r="T14" i="19" s="1"/>
  <c r="Q31" i="4"/>
  <c r="S14" i="19" s="1"/>
  <c r="D20" i="19"/>
  <c r="T20" i="19" s="1"/>
  <c r="Q30" i="15"/>
  <c r="S20" i="19" s="1"/>
  <c r="D11" i="19"/>
  <c r="T11" i="19" s="1"/>
  <c r="Q30" i="1"/>
  <c r="S11" i="19" s="1"/>
  <c r="C55" i="6"/>
  <c r="C57" i="6" s="1"/>
  <c r="C65" i="6" s="1"/>
  <c r="C69" i="6" s="1"/>
  <c r="D57" i="6"/>
  <c r="D65" i="6" s="1"/>
  <c r="D69" i="6" s="1"/>
  <c r="E9" i="19" s="1"/>
  <c r="U20" i="19" l="1"/>
  <c r="U18" i="19"/>
  <c r="U11" i="19"/>
  <c r="U14" i="19"/>
  <c r="U15" i="19"/>
  <c r="U17" i="19"/>
  <c r="U19" i="19"/>
  <c r="U13" i="19"/>
  <c r="U22" i="19"/>
  <c r="U16" i="19"/>
  <c r="E24" i="19"/>
  <c r="C9" i="19"/>
  <c r="C24" i="19" s="1"/>
  <c r="D9" i="19"/>
  <c r="Q69" i="6"/>
  <c r="S9" i="19" s="1"/>
  <c r="D34" i="19" l="1"/>
  <c r="E34" i="19" s="1"/>
  <c r="D33" i="19"/>
  <c r="E33" i="19" s="1"/>
  <c r="D24" i="19"/>
  <c r="T9" i="19"/>
  <c r="U9" i="1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</author>
  </authors>
  <commentList>
    <comment ref="A22" authorId="0" shapeId="0" xr:uid="{00000000-0006-0000-0500-000001000000}">
      <text>
        <r>
          <rPr>
            <sz val="9"/>
            <color indexed="81"/>
            <rFont val="Tahoma"/>
            <family val="2"/>
          </rPr>
          <t>Not required - covered in Alex Bldgs</t>
        </r>
      </text>
    </comment>
  </commentList>
</comments>
</file>

<file path=xl/sharedStrings.xml><?xml version="1.0" encoding="utf-8"?>
<sst xmlns="http://schemas.openxmlformats.org/spreadsheetml/2006/main" count="905" uniqueCount="280">
  <si>
    <t>Maintenance costs</t>
  </si>
  <si>
    <t>Total Expenditure</t>
  </si>
  <si>
    <t>Insurance</t>
  </si>
  <si>
    <t>Lightning Conductor</t>
  </si>
  <si>
    <t>Staff Costs</t>
  </si>
  <si>
    <t>Leisure Facilities</t>
  </si>
  <si>
    <t>Pool Chemicals</t>
  </si>
  <si>
    <t>Gas</t>
  </si>
  <si>
    <t>INSURANCE</t>
  </si>
  <si>
    <t>Directors &amp; Officers</t>
  </si>
  <si>
    <t>Garages</t>
  </si>
  <si>
    <t>Day to Day Maintenance</t>
  </si>
  <si>
    <t>Fire Risk Assessment/Signage</t>
  </si>
  <si>
    <t>Fire Extinguisher Maintenance</t>
  </si>
  <si>
    <t>Window Cleaning</t>
  </si>
  <si>
    <t>Communal Electricity</t>
  </si>
  <si>
    <t>Consumables and Light Bulbs</t>
  </si>
  <si>
    <t>Smoke Ventilation</t>
  </si>
  <si>
    <t>Lift Maintenance/Annual Service</t>
  </si>
  <si>
    <t>Bank Charges</t>
  </si>
  <si>
    <t>Communal Costs</t>
  </si>
  <si>
    <t>Internal Cleaning</t>
  </si>
  <si>
    <t>Day to day Maintenance</t>
  </si>
  <si>
    <t>Maintenance Costs</t>
  </si>
  <si>
    <t>Emergency Lighting</t>
  </si>
  <si>
    <t>Fire Alarm Maintenance</t>
  </si>
  <si>
    <t>Lift Maintenance Costs</t>
  </si>
  <si>
    <t>Administration Costs</t>
  </si>
  <si>
    <t>Office Telephone</t>
  </si>
  <si>
    <t>Office Broadband</t>
  </si>
  <si>
    <t>Office Stationery and Consumables</t>
  </si>
  <si>
    <t>Sundry Expenses</t>
  </si>
  <si>
    <t>Cleaning Costs</t>
  </si>
  <si>
    <t>Pool Costs</t>
  </si>
  <si>
    <t>Electricity</t>
  </si>
  <si>
    <t>Lift Costs</t>
  </si>
  <si>
    <t>Estate &amp; Grounds Maintenance</t>
  </si>
  <si>
    <t>Utilities &amp; Electrical Costs</t>
  </si>
  <si>
    <t>Estate Electricity</t>
  </si>
  <si>
    <t>Health and Safety</t>
  </si>
  <si>
    <t>Uniforms (including Protective Clothing)</t>
  </si>
  <si>
    <t xml:space="preserve">Emergency Lighting </t>
  </si>
  <si>
    <t>Telephone Lines for Gates</t>
  </si>
  <si>
    <t>Lift Telephone Lines</t>
  </si>
  <si>
    <t>Budget</t>
  </si>
  <si>
    <t>Pool Maintenance and Repairs</t>
  </si>
  <si>
    <t>Spa Maintenance and Repairs</t>
  </si>
  <si>
    <t>Gym Maintenance and Repairs</t>
  </si>
  <si>
    <t>Boiler Maintenance and Repairs</t>
  </si>
  <si>
    <t>Air Handling Maintenance and Repairs</t>
  </si>
  <si>
    <t>Emergency Light Testing</t>
  </si>
  <si>
    <t>Water Cooler</t>
  </si>
  <si>
    <t>Electrical and Lighting Repairs</t>
  </si>
  <si>
    <t>Alexandra</t>
  </si>
  <si>
    <t>Alexandra Building</t>
  </si>
  <si>
    <t>Cliffe</t>
  </si>
  <si>
    <t>Edward</t>
  </si>
  <si>
    <t>Kingswood</t>
  </si>
  <si>
    <t>Muxlow</t>
  </si>
  <si>
    <t>Peveril</t>
  </si>
  <si>
    <t>Sheaf 1</t>
  </si>
  <si>
    <t>Sheaf 2</t>
  </si>
  <si>
    <t>Sheaf 3 Apartments</t>
  </si>
  <si>
    <t>Sheaf 3 Building</t>
  </si>
  <si>
    <t>Victoria</t>
  </si>
  <si>
    <t>Leisure Suite</t>
  </si>
  <si>
    <t>Security measures</t>
  </si>
  <si>
    <t>Security</t>
  </si>
  <si>
    <t>Commercial Combined</t>
  </si>
  <si>
    <t>Emergency Lighting Testing</t>
  </si>
  <si>
    <t>Estate Lighting and Repairs</t>
  </si>
  <si>
    <t>Lone Worker Protection</t>
  </si>
  <si>
    <t>Window Cleaning - external</t>
  </si>
  <si>
    <t>Window and Glass Cleaning - internal</t>
  </si>
  <si>
    <t>Sauna Maintenance and Repairs</t>
  </si>
  <si>
    <t>Roads, Drains &amp; Severe Weather Maintenance</t>
  </si>
  <si>
    <t>Community, Communications &amp; Website</t>
  </si>
  <si>
    <t>General Staff Training</t>
  </si>
  <si>
    <t>Staff Training Regulatory (Health &amp; Safety)</t>
  </si>
  <si>
    <t>Fire Alarm System Maintenance</t>
  </si>
  <si>
    <t>Property Owners &amp; PL Insurance</t>
  </si>
  <si>
    <t xml:space="preserve">Insurance Premium Tax </t>
  </si>
  <si>
    <t>Leisure Suite Utilities</t>
  </si>
  <si>
    <t>Gates - H&amp;S, Repairs and Maintenance</t>
  </si>
  <si>
    <t xml:space="preserve">Management </t>
  </si>
  <si>
    <t>Finance and Accounting</t>
  </si>
  <si>
    <t>Legal</t>
  </si>
  <si>
    <t>External Audit Fees</t>
  </si>
  <si>
    <t>Company Secretarial Fees</t>
  </si>
  <si>
    <t>LEISURE SUITE</t>
  </si>
  <si>
    <t>Block Management</t>
  </si>
  <si>
    <t xml:space="preserve">Block Management </t>
  </si>
  <si>
    <t>Staff Expenses</t>
  </si>
  <si>
    <t>Fobs</t>
  </si>
  <si>
    <t>Lift Maintenance/Service</t>
  </si>
  <si>
    <t>Statutory Insurance inspections</t>
  </si>
  <si>
    <t>Statutory Insurance Inspections</t>
  </si>
  <si>
    <t>Variance</t>
  </si>
  <si>
    <t>Notes</t>
  </si>
  <si>
    <t>Contribution to reserves</t>
  </si>
  <si>
    <t>Contribution to Reserves</t>
  </si>
  <si>
    <t>Contribution  to reserves</t>
  </si>
  <si>
    <t>Staff Salaries and Employment Costs (inc pension contributions)</t>
  </si>
  <si>
    <t xml:space="preserve">Ombudsman Services Scheme </t>
  </si>
  <si>
    <t>Site valuation</t>
  </si>
  <si>
    <t>External courses for compliance purposes</t>
  </si>
  <si>
    <t>Internal staff training</t>
  </si>
  <si>
    <t>Staff uniforms/Personal protective equipment</t>
  </si>
  <si>
    <t>Data protection membership fee, stamps etc</t>
  </si>
  <si>
    <t>Legal advice (HR/Property)</t>
  </si>
  <si>
    <t>Roads, drain service and works, snow plough, grit and gritting etc</t>
  </si>
  <si>
    <t>Repairs to structure/gutters</t>
  </si>
  <si>
    <t>Annual test as per legislation</t>
  </si>
  <si>
    <t>CCTV, signage</t>
  </si>
  <si>
    <t>H&amp;S, repairs, maintenance, annual inspections and force tests</t>
  </si>
  <si>
    <t>Phone line rental and call charges</t>
  </si>
  <si>
    <t>Lighting repairs/upgrades/timers</t>
  </si>
  <si>
    <t>Actual</t>
  </si>
  <si>
    <t>Pest Control</t>
  </si>
  <si>
    <t>Light duty equipment maintenance</t>
  </si>
  <si>
    <t>Light Equipment misc costs</t>
  </si>
  <si>
    <t>Terrorism cover</t>
  </si>
  <si>
    <t>Roof Repairs</t>
  </si>
  <si>
    <t>Roof repairs</t>
  </si>
  <si>
    <t>NETHER EDGE MANAGEMENT CO LTD</t>
  </si>
  <si>
    <t>COMMUNAL MANAGEMENT &amp; ADMIN</t>
  </si>
  <si>
    <t>LED lighting upgrades</t>
  </si>
  <si>
    <t>LED light upgrades</t>
  </si>
  <si>
    <t>Book-keeping &amp; Admin &amp; Payroll</t>
  </si>
  <si>
    <t>Drain work</t>
  </si>
  <si>
    <t>Refreshments</t>
  </si>
  <si>
    <t>Carriage costs</t>
  </si>
  <si>
    <t>Drain repairs</t>
  </si>
  <si>
    <t>Printer ink, stationery - extra files/storage cabinets ordered to ensure good filing system be put in place</t>
  </si>
  <si>
    <t>Carpet Cleaning/machinery</t>
  </si>
  <si>
    <t xml:space="preserve">Fixed 3 year price 2017/18/19 </t>
  </si>
  <si>
    <t>Site mobile phone, website domain costs, website works, site welcome leaflets, estates office business cards, signage, photography</t>
  </si>
  <si>
    <t>IT and network costs/monthly software/broadband</t>
  </si>
  <si>
    <t>Monthly back-ups and maintenance cover, software, anti-virus etc, network issues etc - to be reviewed 2019</t>
  </si>
  <si>
    <t>General Administrative costs/stamps</t>
  </si>
  <si>
    <t>4 x 8hr days/month (2018 budgeted 3 days)</t>
  </si>
  <si>
    <t>HR/Staffing/Job Adverts/HR Advice/Payroll Software</t>
  </si>
  <si>
    <t>Garden/Grounds Maintenance &amp; extra planting</t>
  </si>
  <si>
    <t>LED street lamp bulb upgrade</t>
  </si>
  <si>
    <t>Building work</t>
  </si>
  <si>
    <t>Contractor Cleaning</t>
  </si>
  <si>
    <t>Cleaning Materials &amp; Consumables</t>
  </si>
  <si>
    <t>Water (Leisure &amp; estate external taps)</t>
  </si>
  <si>
    <t>Door Entry System &amp; Door Maintenance</t>
  </si>
  <si>
    <t>Hygiene Services &amp; Urinal Cartridges</t>
  </si>
  <si>
    <t>Major Equipment</t>
  </si>
  <si>
    <t>Emergency Light Testing &amp; Repairs</t>
  </si>
  <si>
    <t>EICR Testing (every 5 years)</t>
  </si>
  <si>
    <t>Carpet cleaning</t>
  </si>
  <si>
    <t>EICR Testing every 5 years</t>
  </si>
  <si>
    <t>Fire Alarm Maintenance/Smoke Ventilation</t>
  </si>
  <si>
    <t>EICR testing every 5 years</t>
  </si>
  <si>
    <t>EICR testing (every 5 years)</t>
  </si>
  <si>
    <t>2018 new intercom/wiring repairs</t>
  </si>
  <si>
    <t>Full Year</t>
  </si>
  <si>
    <t>&lt;---------- to October ----------&gt;</t>
  </si>
  <si>
    <t>&lt;----- Budget -----&gt;</t>
  </si>
  <si>
    <t>Variance to 2017 Budget</t>
  </si>
  <si>
    <t>Variance to 2018 Budget</t>
  </si>
  <si>
    <t>* Inflation Factor, CPI to October, 2019</t>
  </si>
  <si>
    <t>*</t>
  </si>
  <si>
    <t>Service Charge Budgets</t>
  </si>
  <si>
    <t>Summary</t>
  </si>
  <si>
    <t>Total prior to reserves</t>
  </si>
  <si>
    <t>Total Communal Costs</t>
  </si>
  <si>
    <t>Total Maintenance Costs</t>
  </si>
  <si>
    <r>
      <t>Emergency Lighting</t>
    </r>
    <r>
      <rPr>
        <sz val="11"/>
        <color indexed="10"/>
        <rFont val="Calibri"/>
        <family val="2"/>
        <scheme val="minor"/>
      </rPr>
      <t xml:space="preserve"> </t>
    </r>
  </si>
  <si>
    <t>Total Lift Maintenance Costs</t>
  </si>
  <si>
    <t>Check Figure</t>
  </si>
  <si>
    <t>Variance to 2018 Charges</t>
  </si>
  <si>
    <t>2018 Service Charges *</t>
  </si>
  <si>
    <t>Communal Management &amp; Administration</t>
  </si>
  <si>
    <t>* 2018 Service Charges were based on 2017 Budget + 1%, rather than the 2018 Budget.</t>
  </si>
  <si>
    <t xml:space="preserve">  Column D shows the difference between the 2019 &amp; 2018 Budgets.</t>
  </si>
  <si>
    <t xml:space="preserve">  Column C shows the difference between the 2019 Budget and what was actually charged in 2018.</t>
  </si>
  <si>
    <t>Total Staff Costs</t>
  </si>
  <si>
    <t>Total Administration Costs</t>
  </si>
  <si>
    <t>Total Management Costs</t>
  </si>
  <si>
    <t>Total Security Costs</t>
  </si>
  <si>
    <t>Total Utilities &amp; Electrical Costs</t>
  </si>
  <si>
    <t>Total Estate &amp; Grounds Maintenance</t>
  </si>
  <si>
    <t>Planned &amp; Preventative Maintenance Survey</t>
  </si>
  <si>
    <t>EV Charging Point Survey</t>
  </si>
  <si>
    <t>Electrical Tracing Survey &amp; Recabling</t>
  </si>
  <si>
    <t>Total Cleaning Costs</t>
  </si>
  <si>
    <t>Total Pool Costs</t>
  </si>
  <si>
    <t>Total Leisure Suite Utilities</t>
  </si>
  <si>
    <t>Total Leisure Facilities</t>
  </si>
  <si>
    <t>Total Lift Costs</t>
  </si>
  <si>
    <t>Check Figures</t>
  </si>
  <si>
    <t>No. Units</t>
  </si>
  <si>
    <t>Alexandra Buildings</t>
  </si>
  <si>
    <t>Communal</t>
  </si>
  <si>
    <t>Sheaf 3 Buildings</t>
  </si>
  <si>
    <t>Per Dwelling</t>
  </si>
  <si>
    <t>2019 Increase over 2018 Service charges (2017 + 1%)</t>
  </si>
  <si>
    <t>2019 Increase over 2018 Budget</t>
  </si>
  <si>
    <t>2018 Increase over 2017 Service charges (2017 + 1%)</t>
  </si>
  <si>
    <t>2018 Budget increase over 2017</t>
  </si>
  <si>
    <t>Breakdown of Increases</t>
  </si>
  <si>
    <t>2017 Surpluses &amp; Deficits</t>
  </si>
  <si>
    <t>Electrical Compliance Testing</t>
  </si>
  <si>
    <t>Tracey's Estimate</t>
  </si>
  <si>
    <t>2018 actual £1115 - actioned - not required from 2019</t>
  </si>
  <si>
    <t>Total</t>
  </si>
  <si>
    <t>Statutory Lift Inspections (Engineering Risk)</t>
  </si>
  <si>
    <t>Part of insurance, but needs to be charged to Leisure Suite.</t>
  </si>
  <si>
    <t>Includes whole site + Office/Leisure Suite (previously inc. in Property Owners &amp; PL Ins.)</t>
  </si>
  <si>
    <t>Reserves Expenditure</t>
  </si>
  <si>
    <t>Communal Management &amp; Admin</t>
  </si>
  <si>
    <t>Cost Centre</t>
  </si>
  <si>
    <t>Amount Budgetted</t>
  </si>
  <si>
    <t>Reserves</t>
  </si>
  <si>
    <t>The following items have been approved by the Board for specific or in principle expenditure from Reserves.</t>
  </si>
  <si>
    <t>Original Budget</t>
  </si>
  <si>
    <t>Light Equipment</t>
  </si>
  <si>
    <t>Defibrillator &amp; Cabinet</t>
  </si>
  <si>
    <t>2018 table tennis table. 2019 defib &amp; cabinet moved to Estate.</t>
  </si>
  <si>
    <t>Office Extension</t>
  </si>
  <si>
    <t>Gym refit.</t>
  </si>
  <si>
    <t>Replace misted pane above entrance &amp; impact door cladding x 2 corridor doors</t>
  </si>
  <si>
    <t>Pool side balance tank frames.</t>
  </si>
  <si>
    <t>Reserves Budget 2019</t>
  </si>
  <si>
    <t>Net Reserves 1/1/2018</t>
  </si>
  <si>
    <t>Annual Charge</t>
  </si>
  <si>
    <t>£1 per dwelling per week</t>
  </si>
  <si>
    <t>No. of Dwellings</t>
  </si>
  <si>
    <t>ALEXANDRA APARTMENTS</t>
  </si>
  <si>
    <t>ALEXANDRA BUILDING</t>
  </si>
  <si>
    <t>CLIFFE</t>
  </si>
  <si>
    <t>EDWARD</t>
  </si>
  <si>
    <t>KINGSWOOD</t>
  </si>
  <si>
    <t>MUXLOW</t>
  </si>
  <si>
    <t>SHEAF 1 APARTMENTS</t>
  </si>
  <si>
    <t>SHEAF 2</t>
  </si>
  <si>
    <t>SHEAF 3 APARTMENTS</t>
  </si>
  <si>
    <t>SHEAF 3 BUILDING</t>
  </si>
  <si>
    <t>VICTORIA</t>
  </si>
  <si>
    <t>Alexandra Apartments</t>
  </si>
  <si>
    <t>Totals</t>
  </si>
  <si>
    <t>% being Charged</t>
  </si>
  <si>
    <t>Revised Contrib.</t>
  </si>
  <si>
    <t>after Prior Year Adjustment *</t>
  </si>
  <si>
    <t>Reserves 31/12/2017</t>
  </si>
  <si>
    <r>
      <t>Total</t>
    </r>
    <r>
      <rPr>
        <sz val="11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from Annual Accts</t>
    </r>
  </si>
  <si>
    <t>Roof repairs are included</t>
  </si>
  <si>
    <t>in Alexandra Buildings</t>
  </si>
  <si>
    <t>Per Week</t>
  </si>
  <si>
    <r>
      <t xml:space="preserve">Net </t>
    </r>
    <r>
      <rPr>
        <b/>
        <sz val="11"/>
        <color rgb="FFFF0000"/>
        <rFont val="Calibri"/>
        <family val="2"/>
        <scheme val="minor"/>
      </rPr>
      <t>Increase</t>
    </r>
    <r>
      <rPr>
        <b/>
        <sz val="11"/>
        <rFont val="Calibri"/>
        <family val="2"/>
        <scheme val="minor"/>
      </rPr>
      <t>/Decrease to Reserve as at end 2019</t>
    </r>
  </si>
  <si>
    <t>eg Mileage - no budget in 2017 however occasionally staff do use own vehicles for business trips</t>
  </si>
  <si>
    <t>Kerbstones, paths, tools etc</t>
  </si>
  <si>
    <t>As per contract in place - inc. additional £700 + VAT for new planting</t>
  </si>
  <si>
    <t>Line rental and calls</t>
  </si>
  <si>
    <t>Accountancy fees</t>
  </si>
  <si>
    <t>In addition to annual maintenance &amp; repairs, change pool filter sand media (must be done every 5 years)</t>
  </si>
  <si>
    <t>Legionella risk assessment, balance tank cleaning now required 6 monthly, i-auditor annual subscription</t>
  </si>
  <si>
    <t>Electrical testing</t>
  </si>
  <si>
    <t>Change of provider for 365/247 call out inc all labour charges</t>
  </si>
  <si>
    <t>Incorporated within insurance figures</t>
  </si>
  <si>
    <t>Not required in 2018 - every 5 years.</t>
  </si>
  <si>
    <t>Completed 2018</t>
  </si>
  <si>
    <t>From 2019 inc smoke ventilation system &amp; individual flats smoke alarm testing by contractor to achieve 100% compliance</t>
  </si>
  <si>
    <t>Will be recharged to Estate</t>
  </si>
  <si>
    <t>Unexpected roof repair 2018 £900</t>
  </si>
  <si>
    <t>New contract from 1 March 2019 for 365/247 call out labour inc</t>
  </si>
  <si>
    <t>Canopy x 2 replaced in 2018 (£1,400) 10 year guarantee</t>
  </si>
  <si>
    <t>Now included with above category</t>
  </si>
  <si>
    <t>Studio floor annual maintenance (not done last 2 years)</t>
  </si>
  <si>
    <t>From 2018 cleaning carried out in house &amp; new materials supplier</t>
  </si>
  <si>
    <t>Inaccurate 2017 budget</t>
  </si>
  <si>
    <t>Overall Variance</t>
  </si>
  <si>
    <t xml:space="preserve">N.B. While the 2019 budget is only slightly larger than the 2018 budget (1.76%), because the Service Charges for 2018 were only increased by 1% over 2017, the 2019 Budget is 9.45% greater than what was actually charged in 2018. </t>
  </si>
  <si>
    <t>Because of this, the Board decided to spread the increase over 2 or more years, so that the 2019 service Charges have increased by an average 5.44% overall.</t>
  </si>
  <si>
    <t>Inflation Factor, CPI to October, 2018</t>
  </si>
  <si>
    <t>Fob information not previously recorded.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</si>
</sst>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;[Red]\(#,##0\)"/>
    <numFmt numFmtId="165" formatCode="#,##0;[Red]#,##0"/>
    <numFmt numFmtId="166" formatCode="_-* #,##0_-;\-* #,##0_-;_-* &quot;-&quot;??_-;_-@_-"/>
    <numFmt numFmtId="167" formatCode="0.0%"/>
    <numFmt numFmtId="168" formatCode="#,##0_ ;[Red]\-#,##0\ "/>
    <numFmt numFmtId="169" formatCode="#,##0.00_ ;[Red]\-#,##0.00\ "/>
  </numFmts>
  <fonts count="70" x14ac:knownFonts="1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10"/>
      <name val="Franklin Gothic Medium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rgb="FF7030A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6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sz val="11"/>
      <color theme="2" tint="-0.749992370372631"/>
      <name val="Arial"/>
      <family val="2"/>
    </font>
    <font>
      <b/>
      <sz val="11"/>
      <color rgb="FF00B05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sz val="11"/>
      <name val="Franklin Gothic Medium"/>
      <family val="2"/>
    </font>
    <font>
      <sz val="11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1"/>
      <color theme="2" tint="-0.749992370372631"/>
      <name val="Arial"/>
      <family val="2"/>
    </font>
    <font>
      <b/>
      <sz val="12"/>
      <color theme="2" tint="-0.749992370372631"/>
      <name val="Calibri"/>
      <family val="2"/>
      <scheme val="minor"/>
    </font>
    <font>
      <sz val="12"/>
      <color theme="2" tint="-0.749992370372631"/>
      <name val="Calibri"/>
      <family val="2"/>
      <scheme val="minor"/>
    </font>
    <font>
      <sz val="9"/>
      <color indexed="81"/>
      <name val="Tahoma"/>
      <family val="2"/>
    </font>
    <font>
      <sz val="2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5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334">
    <xf numFmtId="0" fontId="0" fillId="0" borderId="0" xfId="0"/>
    <xf numFmtId="0" fontId="21" fillId="0" borderId="0" xfId="0" applyFont="1"/>
    <xf numFmtId="0" fontId="23" fillId="0" borderId="0" xfId="0" applyFont="1"/>
    <xf numFmtId="0" fontId="27" fillId="0" borderId="0" xfId="37" applyFont="1" applyAlignment="1">
      <alignment vertical="center"/>
    </xf>
    <xf numFmtId="0" fontId="28" fillId="0" borderId="0" xfId="37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164" fontId="31" fillId="0" borderId="0" xfId="37" applyNumberFormat="1" applyFont="1" applyAlignment="1">
      <alignment vertical="center"/>
    </xf>
    <xf numFmtId="164" fontId="29" fillId="0" borderId="0" xfId="37" applyNumberFormat="1" applyFont="1" applyAlignment="1">
      <alignment vertical="center"/>
    </xf>
    <xf numFmtId="0" fontId="32" fillId="0" borderId="0" xfId="0" applyFont="1" applyAlignment="1">
      <alignment vertical="center"/>
    </xf>
    <xf numFmtId="164" fontId="28" fillId="0" borderId="0" xfId="37" applyNumberFormat="1" applyFont="1" applyAlignment="1">
      <alignment vertical="center"/>
    </xf>
    <xf numFmtId="164" fontId="27" fillId="0" borderId="0" xfId="37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66" fontId="29" fillId="0" borderId="0" xfId="57" applyNumberFormat="1" applyFont="1" applyAlignment="1">
      <alignment vertical="center"/>
    </xf>
    <xf numFmtId="0" fontId="31" fillId="0" borderId="0" xfId="0" applyFont="1" applyAlignment="1">
      <alignment vertical="center"/>
    </xf>
    <xf numFmtId="166" fontId="31" fillId="0" borderId="0" xfId="57" applyNumberFormat="1" applyFont="1" applyBorder="1" applyAlignment="1">
      <alignment vertical="center"/>
    </xf>
    <xf numFmtId="166" fontId="33" fillId="0" borderId="0" xfId="57" applyNumberFormat="1" applyFont="1" applyAlignment="1">
      <alignment vertical="center"/>
    </xf>
    <xf numFmtId="166" fontId="28" fillId="0" borderId="0" xfId="57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9" fontId="29" fillId="0" borderId="0" xfId="58" applyFont="1" applyAlignment="1">
      <alignment vertical="center"/>
    </xf>
    <xf numFmtId="167" fontId="29" fillId="0" borderId="0" xfId="58" applyNumberFormat="1" applyFont="1" applyAlignment="1">
      <alignment vertical="center"/>
    </xf>
    <xf numFmtId="0" fontId="4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37" applyFont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45" fillId="0" borderId="0" xfId="37" applyFont="1" applyAlignment="1">
      <alignment vertical="center"/>
    </xf>
    <xf numFmtId="0" fontId="46" fillId="0" borderId="0" xfId="37" applyFont="1" applyAlignment="1">
      <alignment vertical="center"/>
    </xf>
    <xf numFmtId="0" fontId="47" fillId="0" borderId="0" xfId="37" applyFont="1" applyAlignment="1">
      <alignment vertical="center"/>
    </xf>
    <xf numFmtId="0" fontId="57" fillId="0" borderId="0" xfId="0" applyFont="1" applyAlignment="1">
      <alignment vertical="center"/>
    </xf>
    <xf numFmtId="166" fontId="57" fillId="0" borderId="0" xfId="57" applyNumberFormat="1" applyFont="1" applyAlignment="1">
      <alignment vertical="center"/>
    </xf>
    <xf numFmtId="166" fontId="52" fillId="0" borderId="0" xfId="57" applyNumberFormat="1" applyFont="1" applyBorder="1" applyAlignment="1">
      <alignment vertical="center"/>
    </xf>
    <xf numFmtId="0" fontId="29" fillId="0" borderId="0" xfId="0" applyFont="1"/>
    <xf numFmtId="0" fontId="36" fillId="0" borderId="0" xfId="0" applyFont="1"/>
    <xf numFmtId="0" fontId="34" fillId="0" borderId="0" xfId="0" applyFont="1"/>
    <xf numFmtId="164" fontId="27" fillId="0" borderId="0" xfId="37" applyNumberFormat="1" applyFont="1"/>
    <xf numFmtId="164" fontId="34" fillId="0" borderId="0" xfId="0" applyNumberFormat="1" applyFont="1"/>
    <xf numFmtId="164" fontId="29" fillId="0" borderId="0" xfId="0" applyNumberFormat="1" applyFont="1"/>
    <xf numFmtId="164" fontId="36" fillId="0" borderId="10" xfId="0" applyNumberFormat="1" applyFont="1" applyBorder="1"/>
    <xf numFmtId="164" fontId="34" fillId="0" borderId="10" xfId="0" applyNumberFormat="1" applyFont="1" applyBorder="1"/>
    <xf numFmtId="164" fontId="29" fillId="0" borderId="10" xfId="0" applyNumberFormat="1" applyFont="1" applyBorder="1"/>
    <xf numFmtId="164" fontId="34" fillId="0" borderId="0" xfId="0" applyNumberFormat="1" applyFont="1" applyBorder="1"/>
    <xf numFmtId="164" fontId="29" fillId="0" borderId="0" xfId="0" applyNumberFormat="1" applyFont="1" applyBorder="1"/>
    <xf numFmtId="0" fontId="33" fillId="0" borderId="0" xfId="0" applyFont="1"/>
    <xf numFmtId="164" fontId="28" fillId="0" borderId="0" xfId="37" applyNumberFormat="1" applyFont="1"/>
    <xf numFmtId="164" fontId="31" fillId="0" borderId="0" xfId="0" applyNumberFormat="1" applyFont="1"/>
    <xf numFmtId="0" fontId="44" fillId="0" borderId="0" xfId="37" applyFont="1"/>
    <xf numFmtId="0" fontId="38" fillId="0" borderId="0" xfId="0" applyFont="1"/>
    <xf numFmtId="0" fontId="37" fillId="0" borderId="0" xfId="0" applyFont="1"/>
    <xf numFmtId="0" fontId="40" fillId="0" borderId="0" xfId="0" applyFont="1"/>
    <xf numFmtId="164" fontId="31" fillId="0" borderId="0" xfId="37" applyNumberFormat="1" applyFont="1"/>
    <xf numFmtId="164" fontId="29" fillId="0" borderId="0" xfId="37" applyNumberFormat="1" applyFont="1"/>
    <xf numFmtId="164" fontId="33" fillId="0" borderId="0" xfId="0" applyNumberFormat="1" applyFont="1"/>
    <xf numFmtId="164" fontId="28" fillId="0" borderId="10" xfId="55" applyNumberFormat="1" applyFont="1" applyBorder="1"/>
    <xf numFmtId="0" fontId="45" fillId="0" borderId="0" xfId="55" applyFont="1" applyAlignment="1">
      <alignment vertical="center"/>
    </xf>
    <xf numFmtId="0" fontId="27" fillId="0" borderId="0" xfId="55" applyFont="1" applyAlignment="1">
      <alignment vertical="center"/>
    </xf>
    <xf numFmtId="0" fontId="28" fillId="0" borderId="0" xfId="55" applyFont="1" applyAlignment="1">
      <alignment vertical="center"/>
    </xf>
    <xf numFmtId="0" fontId="44" fillId="0" borderId="0" xfId="55" applyFont="1" applyAlignment="1">
      <alignment vertical="center"/>
    </xf>
    <xf numFmtId="164" fontId="52" fillId="0" borderId="0" xfId="55" applyNumberFormat="1" applyFont="1" applyAlignment="1">
      <alignment vertical="center"/>
    </xf>
    <xf numFmtId="164" fontId="57" fillId="0" borderId="0" xfId="55" applyNumberFormat="1" applyFont="1" applyAlignment="1">
      <alignment vertical="center"/>
    </xf>
    <xf numFmtId="168" fontId="55" fillId="0" borderId="0" xfId="57" applyNumberFormat="1" applyFont="1" applyAlignment="1">
      <alignment vertical="center"/>
    </xf>
    <xf numFmtId="168" fontId="57" fillId="0" borderId="0" xfId="57" applyNumberFormat="1" applyFont="1" applyAlignment="1">
      <alignment vertical="center"/>
    </xf>
    <xf numFmtId="168" fontId="55" fillId="0" borderId="0" xfId="0" applyNumberFormat="1" applyFont="1" applyAlignment="1">
      <alignment vertical="center"/>
    </xf>
    <xf numFmtId="168" fontId="56" fillId="0" borderId="0" xfId="0" applyNumberFormat="1" applyFont="1" applyAlignment="1">
      <alignment vertical="center"/>
    </xf>
    <xf numFmtId="168" fontId="57" fillId="0" borderId="0" xfId="0" applyNumberFormat="1" applyFont="1" applyAlignment="1">
      <alignment vertical="center"/>
    </xf>
    <xf numFmtId="168" fontId="56" fillId="0" borderId="0" xfId="57" applyNumberFormat="1" applyFont="1" applyAlignment="1">
      <alignment vertical="center"/>
    </xf>
    <xf numFmtId="168" fontId="53" fillId="0" borderId="10" xfId="57" applyNumberFormat="1" applyFont="1" applyBorder="1" applyAlignment="1">
      <alignment vertical="center"/>
    </xf>
    <xf numFmtId="168" fontId="54" fillId="0" borderId="10" xfId="57" applyNumberFormat="1" applyFont="1" applyBorder="1" applyAlignment="1">
      <alignment vertical="center"/>
    </xf>
    <xf numFmtId="168" fontId="52" fillId="0" borderId="0" xfId="0" applyNumberFormat="1" applyFont="1" applyAlignment="1">
      <alignment vertical="center"/>
    </xf>
    <xf numFmtId="168" fontId="52" fillId="0" borderId="10" xfId="57" applyNumberFormat="1" applyFont="1" applyBorder="1" applyAlignment="1">
      <alignment vertical="center"/>
    </xf>
    <xf numFmtId="168" fontId="56" fillId="0" borderId="10" xfId="0" applyNumberFormat="1" applyFont="1" applyBorder="1" applyAlignment="1">
      <alignment vertical="center"/>
    </xf>
    <xf numFmtId="168" fontId="53" fillId="0" borderId="0" xfId="57" applyNumberFormat="1" applyFont="1" applyBorder="1" applyAlignment="1">
      <alignment vertical="center"/>
    </xf>
    <xf numFmtId="168" fontId="54" fillId="0" borderId="0" xfId="57" applyNumberFormat="1" applyFont="1" applyBorder="1" applyAlignment="1">
      <alignment vertical="center"/>
    </xf>
    <xf numFmtId="168" fontId="52" fillId="0" borderId="0" xfId="57" applyNumberFormat="1" applyFont="1" applyBorder="1" applyAlignment="1">
      <alignment vertical="center"/>
    </xf>
    <xf numFmtId="168" fontId="56" fillId="0" borderId="0" xfId="0" applyNumberFormat="1" applyFont="1" applyBorder="1" applyAlignment="1">
      <alignment vertical="center"/>
    </xf>
    <xf numFmtId="168" fontId="54" fillId="0" borderId="10" xfId="0" applyNumberFormat="1" applyFont="1" applyBorder="1" applyAlignment="1">
      <alignment vertical="center"/>
    </xf>
    <xf numFmtId="0" fontId="29" fillId="0" borderId="0" xfId="0" applyFont="1" applyAlignment="1"/>
    <xf numFmtId="0" fontId="33" fillId="0" borderId="0" xfId="0" applyFont="1" applyAlignment="1"/>
    <xf numFmtId="164" fontId="32" fillId="0" borderId="0" xfId="0" applyNumberFormat="1" applyFont="1"/>
    <xf numFmtId="164" fontId="31" fillId="0" borderId="0" xfId="55" applyNumberFormat="1" applyFont="1" applyAlignment="1">
      <alignment vertical="center"/>
    </xf>
    <xf numFmtId="168" fontId="36" fillId="0" borderId="0" xfId="0" applyNumberFormat="1" applyFont="1" applyAlignment="1">
      <alignment vertical="center"/>
    </xf>
    <xf numFmtId="168" fontId="34" fillId="0" borderId="0" xfId="0" applyNumberFormat="1" applyFont="1" applyAlignment="1">
      <alignment vertical="center"/>
    </xf>
    <xf numFmtId="168" fontId="29" fillId="0" borderId="0" xfId="0" applyNumberFormat="1" applyFont="1" applyAlignment="1">
      <alignment vertical="center"/>
    </xf>
    <xf numFmtId="0" fontId="58" fillId="0" borderId="0" xfId="0" applyFont="1"/>
    <xf numFmtId="164" fontId="29" fillId="0" borderId="0" xfId="55" applyNumberFormat="1" applyFont="1" applyAlignment="1">
      <alignment vertical="center"/>
    </xf>
    <xf numFmtId="168" fontId="36" fillId="0" borderId="0" xfId="57" applyNumberFormat="1" applyFont="1" applyAlignment="1">
      <alignment vertical="center"/>
    </xf>
    <xf numFmtId="168" fontId="34" fillId="0" borderId="0" xfId="57" applyNumberFormat="1" applyFont="1" applyAlignment="1">
      <alignment vertical="center"/>
    </xf>
    <xf numFmtId="168" fontId="29" fillId="0" borderId="0" xfId="57" applyNumberFormat="1" applyFont="1" applyAlignment="1">
      <alignment vertical="center"/>
    </xf>
    <xf numFmtId="0" fontId="32" fillId="0" borderId="0" xfId="0" applyFont="1" applyAlignment="1"/>
    <xf numFmtId="168" fontId="39" fillId="0" borderId="10" xfId="57" applyNumberFormat="1" applyFont="1" applyBorder="1" applyAlignment="1">
      <alignment vertical="center"/>
    </xf>
    <xf numFmtId="168" fontId="35" fillId="0" borderId="10" xfId="57" applyNumberFormat="1" applyFont="1" applyBorder="1" applyAlignment="1">
      <alignment vertical="center"/>
    </xf>
    <xf numFmtId="168" fontId="31" fillId="0" borderId="0" xfId="0" applyNumberFormat="1" applyFont="1" applyAlignment="1">
      <alignment vertical="center"/>
    </xf>
    <xf numFmtId="168" fontId="31" fillId="0" borderId="10" xfId="57" applyNumberFormat="1" applyFont="1" applyBorder="1" applyAlignment="1">
      <alignment vertical="center"/>
    </xf>
    <xf numFmtId="168" fontId="35" fillId="0" borderId="10" xfId="0" applyNumberFormat="1" applyFont="1" applyBorder="1" applyAlignment="1">
      <alignment vertical="center"/>
    </xf>
    <xf numFmtId="0" fontId="31" fillId="0" borderId="0" xfId="0" applyFont="1" applyAlignment="1"/>
    <xf numFmtId="164" fontId="39" fillId="0" borderId="10" xfId="0" applyNumberFormat="1" applyFont="1" applyBorder="1"/>
    <xf numFmtId="164" fontId="35" fillId="0" borderId="10" xfId="0" applyNumberFormat="1" applyFont="1" applyBorder="1"/>
    <xf numFmtId="164" fontId="31" fillId="0" borderId="10" xfId="0" applyNumberFormat="1" applyFont="1" applyBorder="1"/>
    <xf numFmtId="164" fontId="36" fillId="0" borderId="0" xfId="0" applyNumberFormat="1" applyFont="1" applyBorder="1"/>
    <xf numFmtId="164" fontId="39" fillId="0" borderId="10" xfId="55" applyNumberFormat="1" applyFont="1" applyBorder="1"/>
    <xf numFmtId="164" fontId="35" fillId="0" borderId="10" xfId="55" applyNumberFormat="1" applyFont="1" applyBorder="1"/>
    <xf numFmtId="10" fontId="29" fillId="0" borderId="0" xfId="58" applyNumberFormat="1" applyFont="1" applyAlignment="1">
      <alignment vertical="center"/>
    </xf>
    <xf numFmtId="168" fontId="34" fillId="0" borderId="10" xfId="0" applyNumberFormat="1" applyFont="1" applyBorder="1" applyAlignment="1">
      <alignment vertical="center"/>
    </xf>
    <xf numFmtId="168" fontId="39" fillId="0" borderId="0" xfId="57" applyNumberFormat="1" applyFont="1" applyBorder="1" applyAlignment="1">
      <alignment vertical="center"/>
    </xf>
    <xf numFmtId="168" fontId="35" fillId="0" borderId="0" xfId="57" applyNumberFormat="1" applyFont="1" applyBorder="1" applyAlignment="1">
      <alignment vertical="center"/>
    </xf>
    <xf numFmtId="168" fontId="39" fillId="0" borderId="0" xfId="0" applyNumberFormat="1" applyFont="1" applyAlignment="1">
      <alignment vertical="center"/>
    </xf>
    <xf numFmtId="168" fontId="31" fillId="0" borderId="0" xfId="57" applyNumberFormat="1" applyFont="1" applyBorder="1" applyAlignment="1">
      <alignment vertical="center"/>
    </xf>
    <xf numFmtId="168" fontId="35" fillId="0" borderId="0" xfId="0" applyNumberFormat="1" applyFont="1" applyAlignment="1">
      <alignment vertical="center"/>
    </xf>
    <xf numFmtId="168" fontId="39" fillId="0" borderId="0" xfId="57" applyNumberFormat="1" applyFont="1" applyAlignment="1">
      <alignment vertical="center"/>
    </xf>
    <xf numFmtId="168" fontId="31" fillId="0" borderId="0" xfId="57" applyNumberFormat="1" applyFont="1" applyAlignment="1">
      <alignment vertical="center"/>
    </xf>
    <xf numFmtId="168" fontId="28" fillId="0" borderId="10" xfId="57" applyNumberFormat="1" applyFont="1" applyBorder="1" applyAlignment="1">
      <alignment vertical="center"/>
    </xf>
    <xf numFmtId="168" fontId="36" fillId="0" borderId="0" xfId="57" applyNumberFormat="1" applyFont="1"/>
    <xf numFmtId="168" fontId="34" fillId="0" borderId="0" xfId="57" applyNumberFormat="1" applyFont="1"/>
    <xf numFmtId="168" fontId="29" fillId="0" borderId="0" xfId="57" applyNumberFormat="1" applyFont="1"/>
    <xf numFmtId="168" fontId="34" fillId="0" borderId="0" xfId="57" applyNumberFormat="1" applyFont="1" applyBorder="1"/>
    <xf numFmtId="168" fontId="29" fillId="0" borderId="0" xfId="57" applyNumberFormat="1" applyFont="1" applyBorder="1"/>
    <xf numFmtId="168" fontId="36" fillId="0" borderId="0" xfId="0" applyNumberFormat="1" applyFont="1"/>
    <xf numFmtId="168" fontId="34" fillId="0" borderId="0" xfId="0" applyNumberFormat="1" applyFont="1"/>
    <xf numFmtId="168" fontId="29" fillId="0" borderId="0" xfId="0" applyNumberFormat="1" applyFont="1"/>
    <xf numFmtId="168" fontId="29" fillId="0" borderId="0" xfId="0" applyNumberFormat="1" applyFont="1" applyAlignment="1"/>
    <xf numFmtId="164" fontId="29" fillId="0" borderId="0" xfId="0" applyNumberFormat="1" applyFont="1" applyAlignment="1"/>
    <xf numFmtId="168" fontId="36" fillId="0" borderId="10" xfId="0" applyNumberFormat="1" applyFont="1" applyBorder="1"/>
    <xf numFmtId="168" fontId="34" fillId="0" borderId="10" xfId="0" applyNumberFormat="1" applyFont="1" applyBorder="1"/>
    <xf numFmtId="168" fontId="29" fillId="0" borderId="10" xfId="0" applyNumberFormat="1" applyFont="1" applyBorder="1"/>
    <xf numFmtId="168" fontId="36" fillId="0" borderId="0" xfId="0" applyNumberFormat="1" applyFont="1" applyBorder="1"/>
    <xf numFmtId="168" fontId="34" fillId="0" borderId="0" xfId="0" applyNumberFormat="1" applyFont="1" applyBorder="1"/>
    <xf numFmtId="168" fontId="29" fillId="0" borderId="0" xfId="0" applyNumberFormat="1" applyFont="1" applyBorder="1"/>
    <xf numFmtId="168" fontId="29" fillId="0" borderId="0" xfId="0" applyNumberFormat="1" applyFont="1" applyBorder="1" applyAlignment="1"/>
    <xf numFmtId="164" fontId="33" fillId="0" borderId="0" xfId="0" applyNumberFormat="1" applyFont="1" applyAlignment="1"/>
    <xf numFmtId="168" fontId="39" fillId="0" borderId="10" xfId="55" applyNumberFormat="1" applyFont="1" applyBorder="1"/>
    <xf numFmtId="168" fontId="35" fillId="0" borderId="10" xfId="55" applyNumberFormat="1" applyFont="1" applyBorder="1"/>
    <xf numFmtId="168" fontId="28" fillId="0" borderId="10" xfId="55" applyNumberFormat="1" applyFont="1" applyBorder="1"/>
    <xf numFmtId="168" fontId="34" fillId="0" borderId="0" xfId="0" applyNumberFormat="1" applyFont="1" applyBorder="1" applyAlignment="1">
      <alignment vertical="center"/>
    </xf>
    <xf numFmtId="0" fontId="31" fillId="0" borderId="0" xfId="0" applyFont="1"/>
    <xf numFmtId="0" fontId="50" fillId="0" borderId="0" xfId="0" applyFont="1"/>
    <xf numFmtId="168" fontId="39" fillId="0" borderId="10" xfId="57" applyNumberFormat="1" applyFont="1" applyBorder="1"/>
    <xf numFmtId="168" fontId="35" fillId="0" borderId="10" xfId="57" applyNumberFormat="1" applyFont="1" applyBorder="1"/>
    <xf numFmtId="168" fontId="31" fillId="0" borderId="0" xfId="57" applyNumberFormat="1" applyFont="1"/>
    <xf numFmtId="168" fontId="31" fillId="0" borderId="10" xfId="57" applyNumberFormat="1" applyFont="1" applyBorder="1"/>
    <xf numFmtId="168" fontId="31" fillId="0" borderId="10" xfId="0" applyNumberFormat="1" applyFont="1" applyBorder="1"/>
    <xf numFmtId="168" fontId="39" fillId="0" borderId="10" xfId="0" applyNumberFormat="1" applyFont="1" applyBorder="1"/>
    <xf numFmtId="168" fontId="35" fillId="0" borderId="10" xfId="0" applyNumberFormat="1" applyFont="1" applyBorder="1"/>
    <xf numFmtId="168" fontId="31" fillId="0" borderId="0" xfId="0" applyNumberFormat="1" applyFont="1"/>
    <xf numFmtId="168" fontId="31" fillId="0" borderId="10" xfId="0" applyNumberFormat="1" applyFont="1" applyBorder="1" applyAlignment="1"/>
    <xf numFmtId="164" fontId="31" fillId="0" borderId="0" xfId="0" applyNumberFormat="1" applyFont="1" applyAlignment="1"/>
    <xf numFmtId="0" fontId="50" fillId="0" borderId="0" xfId="0" applyFont="1" applyAlignment="1"/>
    <xf numFmtId="165" fontId="34" fillId="0" borderId="0" xfId="0" applyNumberFormat="1" applyFont="1" applyBorder="1"/>
    <xf numFmtId="164" fontId="27" fillId="0" borderId="0" xfId="37" applyNumberFormat="1" applyFont="1" applyFill="1"/>
    <xf numFmtId="0" fontId="33" fillId="0" borderId="0" xfId="0" applyFont="1" applyBorder="1"/>
    <xf numFmtId="164" fontId="40" fillId="0" borderId="0" xfId="0" applyNumberFormat="1" applyFont="1"/>
    <xf numFmtId="164" fontId="50" fillId="0" borderId="0" xfId="0" applyNumberFormat="1" applyFont="1"/>
    <xf numFmtId="168" fontId="31" fillId="0" borderId="0" xfId="0" applyNumberFormat="1" applyFont="1" applyBorder="1"/>
    <xf numFmtId="164" fontId="27" fillId="0" borderId="0" xfId="55" applyNumberFormat="1" applyFont="1" applyAlignment="1">
      <alignment vertical="center"/>
    </xf>
    <xf numFmtId="168" fontId="34" fillId="0" borderId="0" xfId="0" applyNumberFormat="1" applyFont="1" applyFill="1" applyBorder="1"/>
    <xf numFmtId="0" fontId="35" fillId="0" borderId="0" xfId="0" applyFont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31" fillId="25" borderId="0" xfId="0" applyFont="1" applyFill="1" applyBorder="1" applyAlignment="1">
      <alignment horizontal="center" vertical="center"/>
    </xf>
    <xf numFmtId="168" fontId="59" fillId="0" borderId="0" xfId="0" applyNumberFormat="1" applyFont="1" applyAlignment="1">
      <alignment vertical="center"/>
    </xf>
    <xf numFmtId="0" fontId="59" fillId="0" borderId="0" xfId="0" applyFont="1" applyAlignment="1">
      <alignment vertical="center"/>
    </xf>
    <xf numFmtId="168" fontId="60" fillId="0" borderId="0" xfId="0" applyNumberFormat="1" applyFont="1" applyAlignment="1">
      <alignment vertical="center"/>
    </xf>
    <xf numFmtId="0" fontId="60" fillId="0" borderId="0" xfId="0" applyFont="1" applyAlignment="1">
      <alignment vertical="center"/>
    </xf>
    <xf numFmtId="168" fontId="61" fillId="0" borderId="0" xfId="0" applyNumberFormat="1" applyFont="1" applyAlignment="1">
      <alignment vertical="center"/>
    </xf>
    <xf numFmtId="164" fontId="64" fillId="0" borderId="0" xfId="55" applyNumberFormat="1" applyFont="1" applyAlignment="1">
      <alignment vertical="center"/>
    </xf>
    <xf numFmtId="168" fontId="63" fillId="0" borderId="10" xfId="57" applyNumberFormat="1" applyFont="1" applyBorder="1" applyAlignment="1">
      <alignment vertical="center"/>
    </xf>
    <xf numFmtId="0" fontId="62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40" fillId="0" borderId="0" xfId="0" applyFont="1" applyAlignment="1"/>
    <xf numFmtId="164" fontId="29" fillId="0" borderId="0" xfId="37" applyNumberFormat="1" applyFont="1" applyFill="1"/>
    <xf numFmtId="168" fontId="27" fillId="0" borderId="10" xfId="55" applyNumberFormat="1" applyFont="1" applyFill="1" applyBorder="1"/>
    <xf numFmtId="168" fontId="34" fillId="0" borderId="10" xfId="55" applyNumberFormat="1" applyFont="1" applyFill="1" applyBorder="1"/>
    <xf numFmtId="168" fontId="36" fillId="0" borderId="10" xfId="55" applyNumberFormat="1" applyFont="1" applyFill="1" applyBorder="1"/>
    <xf numFmtId="168" fontId="34" fillId="25" borderId="0" xfId="57" applyNumberFormat="1" applyFont="1" applyFill="1" applyAlignment="1">
      <alignment vertical="center"/>
    </xf>
    <xf numFmtId="168" fontId="29" fillId="25" borderId="0" xfId="57" applyNumberFormat="1" applyFont="1" applyFill="1" applyAlignment="1">
      <alignment vertical="center"/>
    </xf>
    <xf numFmtId="168" fontId="34" fillId="25" borderId="0" xfId="0" applyNumberFormat="1" applyFont="1" applyFill="1" applyAlignment="1">
      <alignment vertical="center"/>
    </xf>
    <xf numFmtId="168" fontId="56" fillId="25" borderId="0" xfId="57" applyNumberFormat="1" applyFont="1" applyFill="1" applyAlignment="1">
      <alignment vertical="center"/>
    </xf>
    <xf numFmtId="168" fontId="57" fillId="25" borderId="0" xfId="57" applyNumberFormat="1" applyFont="1" applyFill="1" applyAlignment="1">
      <alignment vertical="center"/>
    </xf>
    <xf numFmtId="164" fontId="29" fillId="25" borderId="0" xfId="0" applyNumberFormat="1" applyFont="1" applyFill="1"/>
    <xf numFmtId="0" fontId="29" fillId="0" borderId="12" xfId="0" applyFont="1" applyBorder="1" applyAlignment="1">
      <alignment vertical="center"/>
    </xf>
    <xf numFmtId="164" fontId="32" fillId="0" borderId="0" xfId="37" applyNumberFormat="1" applyFont="1" applyAlignment="1">
      <alignment vertical="center"/>
    </xf>
    <xf numFmtId="0" fontId="49" fillId="0" borderId="0" xfId="55" applyFont="1" applyBorder="1" applyAlignment="1">
      <alignment horizontal="center" vertical="center"/>
    </xf>
    <xf numFmtId="164" fontId="29" fillId="0" borderId="0" xfId="37" applyNumberFormat="1" applyFont="1" applyBorder="1" applyAlignment="1">
      <alignment vertical="center"/>
    </xf>
    <xf numFmtId="164" fontId="49" fillId="0" borderId="0" xfId="55" applyNumberFormat="1" applyFont="1" applyBorder="1" applyAlignment="1">
      <alignment vertical="center"/>
    </xf>
    <xf numFmtId="164" fontId="51" fillId="0" borderId="0" xfId="37" applyNumberFormat="1" applyFont="1" applyBorder="1" applyAlignment="1">
      <alignment vertical="center"/>
    </xf>
    <xf numFmtId="168" fontId="31" fillId="0" borderId="10" xfId="0" applyNumberFormat="1" applyFont="1" applyBorder="1" applyAlignment="1">
      <alignment vertical="center"/>
    </xf>
    <xf numFmtId="0" fontId="23" fillId="0" borderId="0" xfId="55" applyFont="1" applyBorder="1" applyAlignment="1">
      <alignment horizontal="right" vertical="center"/>
    </xf>
    <xf numFmtId="168" fontId="29" fillId="0" borderId="12" xfId="0" applyNumberFormat="1" applyFont="1" applyBorder="1" applyAlignment="1">
      <alignment horizontal="center" vertical="center"/>
    </xf>
    <xf numFmtId="168" fontId="40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164" fontId="40" fillId="0" borderId="0" xfId="0" applyNumberFormat="1" applyFont="1" applyAlignment="1"/>
    <xf numFmtId="168" fontId="39" fillId="0" borderId="0" xfId="0" applyNumberFormat="1" applyFont="1"/>
    <xf numFmtId="168" fontId="35" fillId="0" borderId="0" xfId="0" applyNumberFormat="1" applyFont="1"/>
    <xf numFmtId="164" fontId="23" fillId="0" borderId="0" xfId="0" applyNumberFormat="1" applyFont="1"/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9" fillId="0" borderId="0" xfId="0" applyFont="1" applyAlignment="1">
      <alignment horizontal="center" vertical="center"/>
    </xf>
    <xf numFmtId="169" fontId="54" fillId="0" borderId="10" xfId="57" applyNumberFormat="1" applyFont="1" applyBorder="1" applyAlignment="1">
      <alignment vertical="center"/>
    </xf>
    <xf numFmtId="168" fontId="29" fillId="0" borderId="0" xfId="0" applyNumberFormat="1" applyFont="1" applyBorder="1" applyAlignment="1">
      <alignment vertical="center"/>
    </xf>
    <xf numFmtId="168" fontId="31" fillId="0" borderId="12" xfId="0" applyNumberFormat="1" applyFont="1" applyBorder="1" applyAlignment="1">
      <alignment horizontal="center" vertical="center" wrapText="1"/>
    </xf>
    <xf numFmtId="168" fontId="31" fillId="0" borderId="13" xfId="0" applyNumberFormat="1" applyFont="1" applyBorder="1" applyAlignment="1">
      <alignment horizontal="center" vertical="center" wrapText="1"/>
    </xf>
    <xf numFmtId="168" fontId="31" fillId="0" borderId="0" xfId="0" applyNumberFormat="1" applyFont="1" applyAlignment="1">
      <alignment horizontal="center" vertical="center" wrapText="1"/>
    </xf>
    <xf numFmtId="168" fontId="31" fillId="0" borderId="17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68" fontId="29" fillId="0" borderId="12" xfId="0" applyNumberFormat="1" applyFont="1" applyBorder="1" applyAlignment="1">
      <alignment vertical="center"/>
    </xf>
    <xf numFmtId="168" fontId="29" fillId="0" borderId="13" xfId="0" applyNumberFormat="1" applyFont="1" applyBorder="1" applyAlignment="1">
      <alignment vertical="center"/>
    </xf>
    <xf numFmtId="168" fontId="32" fillId="0" borderId="13" xfId="0" applyNumberFormat="1" applyFont="1" applyBorder="1" applyAlignment="1">
      <alignment horizontal="center" vertical="center"/>
    </xf>
    <xf numFmtId="168" fontId="29" fillId="0" borderId="0" xfId="0" applyNumberFormat="1" applyFont="1" applyBorder="1" applyAlignment="1">
      <alignment horizontal="center" vertical="center"/>
    </xf>
    <xf numFmtId="0" fontId="66" fillId="26" borderId="0" xfId="0" applyFont="1" applyFill="1" applyAlignment="1">
      <alignment vertical="center"/>
    </xf>
    <xf numFmtId="0" fontId="29" fillId="26" borderId="0" xfId="0" applyFont="1" applyFill="1" applyAlignment="1">
      <alignment horizontal="center" vertical="center"/>
    </xf>
    <xf numFmtId="168" fontId="29" fillId="26" borderId="0" xfId="0" applyNumberFormat="1" applyFont="1" applyFill="1" applyAlignment="1">
      <alignment vertical="center"/>
    </xf>
    <xf numFmtId="168" fontId="29" fillId="26" borderId="0" xfId="0" applyNumberFormat="1" applyFont="1" applyFill="1" applyBorder="1" applyAlignment="1">
      <alignment vertical="center"/>
    </xf>
    <xf numFmtId="0" fontId="66" fillId="26" borderId="0" xfId="0" applyNumberFormat="1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168" fontId="29" fillId="0" borderId="0" xfId="0" applyNumberFormat="1" applyFont="1" applyFill="1" applyAlignment="1">
      <alignment vertical="center"/>
    </xf>
    <xf numFmtId="168" fontId="29" fillId="0" borderId="0" xfId="0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14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168" fontId="31" fillId="0" borderId="12" xfId="0" applyNumberFormat="1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1" fontId="29" fillId="0" borderId="0" xfId="0" applyNumberFormat="1" applyFont="1" applyAlignment="1">
      <alignment vertical="center"/>
    </xf>
    <xf numFmtId="168" fontId="36" fillId="0" borderId="0" xfId="0" applyNumberFormat="1" applyFont="1" applyAlignment="1">
      <alignment horizontal="left" vertical="center"/>
    </xf>
    <xf numFmtId="168" fontId="34" fillId="24" borderId="0" xfId="0" applyNumberFormat="1" applyFont="1" applyFill="1" applyAlignment="1">
      <alignment vertical="center"/>
    </xf>
    <xf numFmtId="0" fontId="29" fillId="0" borderId="0" xfId="37" applyFont="1" applyAlignment="1">
      <alignment vertical="center"/>
    </xf>
    <xf numFmtId="168" fontId="36" fillId="0" borderId="10" xfId="0" applyNumberFormat="1" applyFont="1" applyBorder="1" applyAlignment="1">
      <alignment vertical="center"/>
    </xf>
    <xf numFmtId="168" fontId="29" fillId="0" borderId="10" xfId="0" applyNumberFormat="1" applyFont="1" applyBorder="1" applyAlignment="1">
      <alignment vertical="center"/>
    </xf>
    <xf numFmtId="168" fontId="31" fillId="0" borderId="0" xfId="0" applyNumberFormat="1" applyFont="1" applyBorder="1" applyAlignment="1">
      <alignment vertical="center"/>
    </xf>
    <xf numFmtId="168" fontId="36" fillId="0" borderId="0" xfId="0" applyNumberFormat="1" applyFont="1" applyBorder="1" applyAlignment="1">
      <alignment vertical="center"/>
    </xf>
    <xf numFmtId="0" fontId="27" fillId="0" borderId="0" xfId="37" applyFont="1" applyFill="1" applyAlignment="1">
      <alignment vertical="center"/>
    </xf>
    <xf numFmtId="168" fontId="34" fillId="0" borderId="11" xfId="0" applyNumberFormat="1" applyFont="1" applyBorder="1" applyAlignment="1">
      <alignment vertical="center"/>
    </xf>
    <xf numFmtId="168" fontId="40" fillId="0" borderId="12" xfId="0" applyNumberFormat="1" applyFont="1" applyBorder="1" applyAlignment="1">
      <alignment vertical="center"/>
    </xf>
    <xf numFmtId="164" fontId="27" fillId="0" borderId="0" xfId="37" applyNumberFormat="1" applyFont="1" applyFill="1" applyAlignment="1">
      <alignment vertical="center"/>
    </xf>
    <xf numFmtId="168" fontId="29" fillId="0" borderId="16" xfId="0" applyNumberFormat="1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0" borderId="18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vertical="center"/>
    </xf>
    <xf numFmtId="168" fontId="31" fillId="0" borderId="16" xfId="0" applyNumberFormat="1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168" fontId="29" fillId="0" borderId="14" xfId="0" applyNumberFormat="1" applyFont="1" applyBorder="1" applyAlignment="1">
      <alignment vertical="center"/>
    </xf>
    <xf numFmtId="9" fontId="29" fillId="0" borderId="12" xfId="58" applyFont="1" applyBorder="1" applyAlignment="1">
      <alignment horizontal="center" vertical="center"/>
    </xf>
    <xf numFmtId="168" fontId="29" fillId="27" borderId="0" xfId="0" applyNumberFormat="1" applyFont="1" applyFill="1" applyAlignment="1">
      <alignment vertical="center"/>
    </xf>
    <xf numFmtId="168" fontId="31" fillId="27" borderId="0" xfId="0" applyNumberFormat="1" applyFont="1" applyFill="1" applyAlignment="1">
      <alignment horizontal="center" vertical="center" wrapText="1"/>
    </xf>
    <xf numFmtId="168" fontId="31" fillId="27" borderId="0" xfId="0" applyNumberFormat="1" applyFont="1" applyFill="1" applyAlignment="1">
      <alignment vertical="center"/>
    </xf>
    <xf numFmtId="168" fontId="29" fillId="27" borderId="0" xfId="0" applyNumberFormat="1" applyFont="1" applyFill="1" applyBorder="1" applyAlignment="1">
      <alignment vertical="center"/>
    </xf>
    <xf numFmtId="169" fontId="29" fillId="0" borderId="12" xfId="0" applyNumberFormat="1" applyFont="1" applyBorder="1" applyAlignment="1">
      <alignment vertical="center"/>
    </xf>
    <xf numFmtId="0" fontId="44" fillId="0" borderId="0" xfId="0" applyFont="1"/>
    <xf numFmtId="168" fontId="41" fillId="0" borderId="12" xfId="0" applyNumberFormat="1" applyFont="1" applyBorder="1" applyAlignment="1">
      <alignment horizontal="center" vertical="center" wrapText="1"/>
    </xf>
    <xf numFmtId="169" fontId="40" fillId="0" borderId="12" xfId="0" applyNumberFormat="1" applyFont="1" applyBorder="1" applyAlignment="1">
      <alignment vertical="center"/>
    </xf>
    <xf numFmtId="0" fontId="26" fillId="0" borderId="0" xfId="0" applyFont="1" applyAlignment="1">
      <alignment vertical="center" wrapText="1"/>
    </xf>
    <xf numFmtId="168" fontId="29" fillId="0" borderId="0" xfId="0" applyNumberFormat="1" applyFont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168" fontId="29" fillId="0" borderId="13" xfId="0" applyNumberFormat="1" applyFont="1" applyBorder="1" applyAlignment="1">
      <alignment horizontal="center" vertical="center"/>
    </xf>
    <xf numFmtId="166" fontId="23" fillId="0" borderId="0" xfId="57" applyNumberFormat="1" applyFont="1" applyBorder="1" applyAlignment="1">
      <alignment vertical="center"/>
    </xf>
    <xf numFmtId="10" fontId="29" fillId="0" borderId="0" xfId="0" applyNumberFormat="1" applyFont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25" borderId="0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168" fontId="31" fillId="0" borderId="12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164" fontId="29" fillId="0" borderId="0" xfId="0" applyNumberFormat="1" applyFont="1" applyAlignment="1">
      <alignment vertical="center"/>
    </xf>
    <xf numFmtId="164" fontId="34" fillId="0" borderId="0" xfId="0" applyNumberFormat="1" applyFont="1" applyAlignment="1">
      <alignment vertical="center"/>
    </xf>
    <xf numFmtId="0" fontId="31" fillId="0" borderId="12" xfId="0" applyFont="1" applyBorder="1" applyAlignment="1">
      <alignment horizontal="center" vertical="center"/>
    </xf>
    <xf numFmtId="43" fontId="31" fillId="0" borderId="14" xfId="0" applyNumberFormat="1" applyFont="1" applyBorder="1" applyAlignment="1">
      <alignment horizontal="center" vertical="center"/>
    </xf>
    <xf numFmtId="164" fontId="31" fillId="0" borderId="16" xfId="0" applyNumberFormat="1" applyFont="1" applyBorder="1" applyAlignment="1">
      <alignment horizontal="center" vertical="center"/>
    </xf>
    <xf numFmtId="164" fontId="31" fillId="0" borderId="12" xfId="0" applyNumberFormat="1" applyFont="1" applyBorder="1" applyAlignment="1">
      <alignment horizontal="center" vertical="center"/>
    </xf>
    <xf numFmtId="0" fontId="29" fillId="0" borderId="16" xfId="0" applyFont="1" applyBorder="1" applyAlignment="1">
      <alignment vertical="center"/>
    </xf>
    <xf numFmtId="0" fontId="29" fillId="0" borderId="12" xfId="0" applyFont="1" applyBorder="1" applyAlignment="1">
      <alignment horizontal="center" vertical="center"/>
    </xf>
    <xf numFmtId="9" fontId="29" fillId="0" borderId="14" xfId="58" applyFont="1" applyBorder="1" applyAlignment="1">
      <alignment horizontal="center" vertical="center"/>
    </xf>
    <xf numFmtId="164" fontId="29" fillId="0" borderId="16" xfId="0" applyNumberFormat="1" applyFont="1" applyBorder="1" applyAlignment="1">
      <alignment horizontal="center" vertical="center"/>
    </xf>
    <xf numFmtId="164" fontId="29" fillId="0" borderId="12" xfId="0" applyNumberFormat="1" applyFont="1" applyBorder="1" applyAlignment="1">
      <alignment horizontal="center" vertical="center"/>
    </xf>
    <xf numFmtId="9" fontId="31" fillId="0" borderId="14" xfId="58" applyFont="1" applyBorder="1" applyAlignment="1">
      <alignment horizontal="center" vertical="center"/>
    </xf>
    <xf numFmtId="164" fontId="59" fillId="0" borderId="0" xfId="0" applyNumberFormat="1" applyFont="1" applyAlignment="1">
      <alignment horizontal="left" vertical="center"/>
    </xf>
    <xf numFmtId="168" fontId="40" fillId="0" borderId="0" xfId="0" applyNumberFormat="1" applyFont="1" applyBorder="1" applyAlignment="1">
      <alignment vertical="center"/>
    </xf>
    <xf numFmtId="10" fontId="29" fillId="0" borderId="0" xfId="58" applyNumberFormat="1" applyFont="1" applyAlignment="1">
      <alignment horizontal="center" vertical="center"/>
    </xf>
    <xf numFmtId="43" fontId="29" fillId="0" borderId="0" xfId="57" applyNumberFormat="1" applyFont="1" applyAlignment="1">
      <alignment vertical="center"/>
    </xf>
    <xf numFmtId="9" fontId="29" fillId="0" borderId="0" xfId="58" applyNumberFormat="1" applyFont="1" applyAlignment="1">
      <alignment horizontal="center" vertical="center"/>
    </xf>
    <xf numFmtId="0" fontId="29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168" fontId="31" fillId="0" borderId="12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168" fontId="31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168" fontId="31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55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35" fillId="0" borderId="0" xfId="55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31" fillId="25" borderId="0" xfId="0" applyFont="1" applyFill="1" applyBorder="1" applyAlignment="1">
      <alignment horizontal="center" vertical="center"/>
    </xf>
    <xf numFmtId="0" fontId="43" fillId="0" borderId="0" xfId="55" applyFont="1" applyBorder="1" applyAlignment="1">
      <alignment vertical="center" wrapText="1"/>
    </xf>
    <xf numFmtId="0" fontId="29" fillId="0" borderId="0" xfId="0" applyFont="1" applyAlignment="1">
      <alignment vertical="center"/>
    </xf>
    <xf numFmtId="0" fontId="23" fillId="0" borderId="0" xfId="55" applyFont="1" applyBorder="1" applyAlignment="1">
      <alignment vertical="center" wrapText="1"/>
    </xf>
    <xf numFmtId="0" fontId="0" fillId="0" borderId="0" xfId="0" applyAlignment="1">
      <alignment vertical="center"/>
    </xf>
    <xf numFmtId="0" fontId="48" fillId="0" borderId="0" xfId="55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0" fontId="39" fillId="0" borderId="0" xfId="55" applyFont="1" applyFill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31" fillId="25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/>
    </xf>
  </cellXfs>
  <cellStyles count="59">
    <cellStyle name="20% - Accent1" xfId="1" builtinId="30" customBuiltin="1"/>
    <cellStyle name="20% - Accent1 2" xfId="43" xr:uid="{00000000-0005-0000-0000-000001000000}"/>
    <cellStyle name="20% - Accent2" xfId="2" builtinId="34" customBuiltin="1"/>
    <cellStyle name="20% - Accent2 2" xfId="44" xr:uid="{00000000-0005-0000-0000-000003000000}"/>
    <cellStyle name="20% - Accent3" xfId="3" builtinId="38" customBuiltin="1"/>
    <cellStyle name="20% - Accent3 2" xfId="45" xr:uid="{00000000-0005-0000-0000-000005000000}"/>
    <cellStyle name="20% - Accent4" xfId="4" builtinId="42" customBuiltin="1"/>
    <cellStyle name="20% - Accent4 2" xfId="46" xr:uid="{00000000-0005-0000-0000-000007000000}"/>
    <cellStyle name="20% - Accent5" xfId="5" builtinId="46" customBuiltin="1"/>
    <cellStyle name="20% - Accent5 2" xfId="47" xr:uid="{00000000-0005-0000-0000-000009000000}"/>
    <cellStyle name="20% - Accent6" xfId="6" builtinId="50" customBuiltin="1"/>
    <cellStyle name="20% - Accent6 2" xfId="48" xr:uid="{00000000-0005-0000-0000-00000B000000}"/>
    <cellStyle name="40% - Accent1" xfId="7" builtinId="31" customBuiltin="1"/>
    <cellStyle name="40% - Accent1 2" xfId="49" xr:uid="{00000000-0005-0000-0000-00000D000000}"/>
    <cellStyle name="40% - Accent2" xfId="8" builtinId="35" customBuiltin="1"/>
    <cellStyle name="40% - Accent2 2" xfId="50" xr:uid="{00000000-0005-0000-0000-00000F000000}"/>
    <cellStyle name="40% - Accent3" xfId="9" builtinId="39" customBuiltin="1"/>
    <cellStyle name="40% - Accent3 2" xfId="51" xr:uid="{00000000-0005-0000-0000-000011000000}"/>
    <cellStyle name="40% - Accent4" xfId="10" builtinId="43" customBuiltin="1"/>
    <cellStyle name="40% - Accent4 2" xfId="52" xr:uid="{00000000-0005-0000-0000-000013000000}"/>
    <cellStyle name="40% - Accent5" xfId="11" builtinId="47" customBuiltin="1"/>
    <cellStyle name="40% - Accent5 2" xfId="53" xr:uid="{00000000-0005-0000-0000-000015000000}"/>
    <cellStyle name="40% - Accent6" xfId="12" builtinId="51" customBuiltin="1"/>
    <cellStyle name="40% - Accent6 2" xfId="54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5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 xr:uid="{00000000-0005-0000-0000-000032000000}"/>
    <cellStyle name="Normal_Sheet1 2" xfId="55" xr:uid="{00000000-0005-0000-0000-000033000000}"/>
    <cellStyle name="Note" xfId="38" builtinId="10" customBuiltin="1"/>
    <cellStyle name="Note 2" xfId="56" xr:uid="{00000000-0005-0000-0000-000035000000}"/>
    <cellStyle name="Output" xfId="39" builtinId="21" customBuiltin="1"/>
    <cellStyle name="Percent" xfId="58" builtinId="5"/>
    <cellStyle name="Title" xfId="40" builtinId="15" customBuiltin="1"/>
    <cellStyle name="Total" xfId="41" builtinId="25" customBuiltin="1"/>
    <cellStyle name="Warning Text" xfId="42" builtinId="11" customBuiltin="1"/>
  </cellStyles>
  <dxfs count="1">
    <dxf>
      <font>
        <color rgb="FF0070C0"/>
      </font>
    </dxf>
  </dxfs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Z119"/>
  <sheetViews>
    <sheetView showGridLines="0" workbookViewId="0"/>
  </sheetViews>
  <sheetFormatPr defaultRowHeight="15" x14ac:dyDescent="0.2"/>
  <cols>
    <col min="1" max="1" width="22.7109375" style="206" customWidth="1"/>
    <col min="2" max="2" width="9.7109375" style="208" customWidth="1"/>
    <col min="3" max="4" width="11.7109375" style="91" customWidth="1"/>
    <col min="5" max="5" width="2.7109375" style="210" customWidth="1"/>
    <col min="6" max="6" width="11.7109375" style="100" customWidth="1"/>
    <col min="7" max="7" width="11.7109375" style="91" customWidth="1"/>
    <col min="8" max="8" width="2.7109375" style="91" customWidth="1"/>
    <col min="9" max="13" width="11.7109375" style="91" customWidth="1"/>
    <col min="14" max="14" width="5.7109375" style="91" customWidth="1"/>
    <col min="15" max="15" width="2.7109375" style="257" customWidth="1"/>
    <col min="16" max="16" width="5.7109375" style="91" customWidth="1"/>
    <col min="17" max="18" width="10.7109375" style="91" customWidth="1"/>
    <col min="19" max="20" width="10.7109375" style="91" hidden="1" customWidth="1"/>
    <col min="21" max="21" width="2.7109375" style="91" customWidth="1"/>
    <col min="22" max="23" width="10.7109375" style="91" hidden="1" customWidth="1"/>
    <col min="24" max="26" width="9.140625" style="91"/>
    <col min="27" max="16384" width="9.140625" style="206"/>
  </cols>
  <sheetData>
    <row r="1" spans="1:26" ht="26.25" x14ac:dyDescent="0.2">
      <c r="A1" s="220" t="s">
        <v>217</v>
      </c>
      <c r="B1" s="221"/>
      <c r="C1" s="222"/>
      <c r="D1" s="224"/>
      <c r="E1" s="223"/>
      <c r="F1" s="222"/>
      <c r="G1" s="222"/>
      <c r="H1" s="222"/>
      <c r="I1" s="222"/>
      <c r="J1" s="222"/>
      <c r="K1" s="222"/>
      <c r="L1" s="222"/>
      <c r="M1" s="222"/>
      <c r="Q1" s="280"/>
      <c r="R1" s="280"/>
      <c r="S1" s="280"/>
      <c r="T1" s="280"/>
      <c r="U1" s="280"/>
      <c r="V1" s="280"/>
      <c r="W1" s="280"/>
      <c r="X1" s="280"/>
      <c r="Y1" s="280"/>
      <c r="Z1" s="280"/>
    </row>
    <row r="2" spans="1:26" x14ac:dyDescent="0.2">
      <c r="F2" s="91"/>
      <c r="V2" s="110">
        <f>W2/V20</f>
        <v>0.89417989417989419</v>
      </c>
      <c r="W2" s="91">
        <f>1690*1.2</f>
        <v>2028</v>
      </c>
    </row>
    <row r="3" spans="1:26" ht="30" customHeight="1" x14ac:dyDescent="0.2">
      <c r="A3" s="305" t="s">
        <v>227</v>
      </c>
      <c r="B3" s="306"/>
      <c r="C3" s="306"/>
      <c r="D3" s="306"/>
      <c r="E3" s="303"/>
      <c r="F3" s="303"/>
      <c r="G3" s="304"/>
      <c r="I3" s="307" t="s">
        <v>248</v>
      </c>
      <c r="J3" s="308"/>
      <c r="K3" s="305" t="s">
        <v>247</v>
      </c>
      <c r="L3" s="309"/>
      <c r="M3" s="308"/>
      <c r="Q3" s="302" t="s">
        <v>90</v>
      </c>
      <c r="R3" s="303"/>
      <c r="S3" s="303"/>
      <c r="T3" s="304"/>
      <c r="V3" s="300" t="s">
        <v>206</v>
      </c>
      <c r="W3" s="301"/>
    </row>
    <row r="4" spans="1:26" s="215" customFormat="1" ht="45" x14ac:dyDescent="0.2">
      <c r="A4" s="267"/>
      <c r="B4" s="267" t="s">
        <v>195</v>
      </c>
      <c r="C4" s="214" t="s">
        <v>219</v>
      </c>
      <c r="D4" s="214" t="s">
        <v>245</v>
      </c>
      <c r="F4" s="214" t="s">
        <v>246</v>
      </c>
      <c r="G4" s="214" t="s">
        <v>199</v>
      </c>
      <c r="H4" s="212"/>
      <c r="I4" s="211" t="s">
        <v>249</v>
      </c>
      <c r="J4" s="211" t="s">
        <v>199</v>
      </c>
      <c r="K4" s="211" t="s">
        <v>205</v>
      </c>
      <c r="L4" s="211" t="s">
        <v>228</v>
      </c>
      <c r="M4" s="211" t="s">
        <v>199</v>
      </c>
      <c r="N4" s="213"/>
      <c r="O4" s="258"/>
      <c r="P4" s="213"/>
      <c r="Q4" s="211" t="s">
        <v>229</v>
      </c>
      <c r="R4" s="211" t="s">
        <v>199</v>
      </c>
      <c r="S4" s="279" t="s">
        <v>252</v>
      </c>
      <c r="T4" s="263" t="s">
        <v>230</v>
      </c>
      <c r="U4" s="213"/>
      <c r="V4" s="211" t="s">
        <v>207</v>
      </c>
      <c r="W4" s="211" t="s">
        <v>117</v>
      </c>
      <c r="X4" s="213"/>
      <c r="Y4" s="213"/>
      <c r="Z4" s="213"/>
    </row>
    <row r="5" spans="1:26" x14ac:dyDescent="0.2">
      <c r="A5" s="187" t="s">
        <v>197</v>
      </c>
      <c r="B5" s="195">
        <v>187</v>
      </c>
      <c r="C5" s="216">
        <v>8500</v>
      </c>
      <c r="D5" s="256">
        <v>1</v>
      </c>
      <c r="E5" s="219"/>
      <c r="F5" s="216">
        <f t="shared" ref="F5:F18" si="0">C5*D5</f>
        <v>8500</v>
      </c>
      <c r="G5" s="216">
        <f t="shared" ref="G5:G18" si="1">F5/B5</f>
        <v>45.454545454545453</v>
      </c>
      <c r="H5" s="217"/>
      <c r="I5" s="216">
        <v>48737</v>
      </c>
      <c r="J5" s="216">
        <f t="shared" ref="J5:J18" si="2">I5/B5</f>
        <v>260.62566844919786</v>
      </c>
      <c r="K5" s="216">
        <v>-17956</v>
      </c>
      <c r="L5" s="216">
        <f t="shared" ref="L5:L18" si="3">I5+K5</f>
        <v>30781</v>
      </c>
      <c r="M5" s="216">
        <f t="shared" ref="M5:M18" si="4">L5/B5</f>
        <v>164.6042780748663</v>
      </c>
      <c r="Q5" s="216"/>
      <c r="R5" s="216"/>
      <c r="S5" s="216"/>
      <c r="T5" s="245"/>
      <c r="V5" s="216"/>
      <c r="W5" s="216"/>
    </row>
    <row r="6" spans="1:26" x14ac:dyDescent="0.2">
      <c r="A6" s="187" t="s">
        <v>65</v>
      </c>
      <c r="B6" s="195">
        <v>187</v>
      </c>
      <c r="C6" s="216">
        <v>12000</v>
      </c>
      <c r="D6" s="256">
        <v>1</v>
      </c>
      <c r="E6" s="219"/>
      <c r="F6" s="216">
        <f t="shared" si="0"/>
        <v>12000</v>
      </c>
      <c r="G6" s="216">
        <f t="shared" si="1"/>
        <v>64.171122994652407</v>
      </c>
      <c r="H6" s="217"/>
      <c r="I6" s="216">
        <v>2360</v>
      </c>
      <c r="J6" s="216">
        <f t="shared" si="2"/>
        <v>12.620320855614974</v>
      </c>
      <c r="K6" s="216">
        <v>-15715</v>
      </c>
      <c r="L6" s="216">
        <f t="shared" si="3"/>
        <v>-13355</v>
      </c>
      <c r="M6" s="216">
        <f t="shared" si="4"/>
        <v>-71.417112299465245</v>
      </c>
      <c r="Q6" s="216"/>
      <c r="R6" s="216"/>
      <c r="S6" s="216"/>
      <c r="T6" s="245"/>
      <c r="V6" s="216">
        <v>732</v>
      </c>
      <c r="W6" s="216">
        <f>V6*$V$2</f>
        <v>654.53968253968253</v>
      </c>
    </row>
    <row r="7" spans="1:26" x14ac:dyDescent="0.2">
      <c r="A7" s="187" t="s">
        <v>243</v>
      </c>
      <c r="B7" s="195">
        <f>Alexandra!I1</f>
        <v>4</v>
      </c>
      <c r="C7" s="216">
        <v>600</v>
      </c>
      <c r="D7" s="256">
        <v>0.3</v>
      </c>
      <c r="E7" s="218"/>
      <c r="F7" s="216">
        <f t="shared" si="0"/>
        <v>180</v>
      </c>
      <c r="G7" s="216">
        <f t="shared" si="1"/>
        <v>45</v>
      </c>
      <c r="I7" s="216">
        <v>11066</v>
      </c>
      <c r="J7" s="216">
        <f t="shared" si="2"/>
        <v>2766.5</v>
      </c>
      <c r="K7" s="216">
        <v>-749</v>
      </c>
      <c r="L7" s="216">
        <f t="shared" si="3"/>
        <v>10317</v>
      </c>
      <c r="M7" s="216">
        <f t="shared" si="4"/>
        <v>2579.25</v>
      </c>
      <c r="Q7" s="216"/>
      <c r="R7" s="216"/>
      <c r="S7" s="216"/>
      <c r="T7" s="245"/>
      <c r="V7" s="216">
        <v>132</v>
      </c>
      <c r="W7" s="216">
        <f>V7*$V$2</f>
        <v>118.03174603174604</v>
      </c>
    </row>
    <row r="8" spans="1:26" x14ac:dyDescent="0.2">
      <c r="A8" s="187" t="s">
        <v>196</v>
      </c>
      <c r="B8" s="195">
        <f>'Alexandra Building'!I1</f>
        <v>9</v>
      </c>
      <c r="C8" s="216">
        <v>3500</v>
      </c>
      <c r="D8" s="256">
        <v>1.05</v>
      </c>
      <c r="E8" s="268"/>
      <c r="F8" s="216">
        <f t="shared" si="0"/>
        <v>3675</v>
      </c>
      <c r="G8" s="216">
        <f t="shared" si="1"/>
        <v>408.33333333333331</v>
      </c>
      <c r="I8" s="216">
        <v>6038</v>
      </c>
      <c r="J8" s="216">
        <f t="shared" si="2"/>
        <v>670.88888888888891</v>
      </c>
      <c r="K8" s="216">
        <v>500</v>
      </c>
      <c r="L8" s="216">
        <f t="shared" si="3"/>
        <v>6538</v>
      </c>
      <c r="M8" s="216">
        <f t="shared" si="4"/>
        <v>726.44444444444446</v>
      </c>
      <c r="Q8" s="216">
        <f>'Alexandra Building'!D8</f>
        <v>500</v>
      </c>
      <c r="R8" s="261">
        <f t="shared" ref="R8:R15" si="5">Q8/B8</f>
        <v>55.555555555555557</v>
      </c>
      <c r="S8" s="261">
        <f>R8/52</f>
        <v>1.0683760683760684</v>
      </c>
      <c r="T8" s="264">
        <f>B8*52</f>
        <v>468</v>
      </c>
      <c r="V8" s="216"/>
      <c r="W8" s="216"/>
    </row>
    <row r="9" spans="1:26" x14ac:dyDescent="0.2">
      <c r="A9" s="187" t="s">
        <v>55</v>
      </c>
      <c r="B9" s="195">
        <f>Cliffe!I1</f>
        <v>6</v>
      </c>
      <c r="C9" s="216">
        <v>3700</v>
      </c>
      <c r="D9" s="256">
        <v>1</v>
      </c>
      <c r="E9" s="218"/>
      <c r="F9" s="216">
        <f t="shared" si="0"/>
        <v>3700</v>
      </c>
      <c r="G9" s="216">
        <f t="shared" si="1"/>
        <v>616.66666666666663</v>
      </c>
      <c r="I9" s="216">
        <v>17649</v>
      </c>
      <c r="J9" s="216">
        <f t="shared" si="2"/>
        <v>2941.5</v>
      </c>
      <c r="K9" s="216">
        <v>756</v>
      </c>
      <c r="L9" s="216">
        <f t="shared" si="3"/>
        <v>18405</v>
      </c>
      <c r="M9" s="216">
        <f t="shared" si="4"/>
        <v>3067.5</v>
      </c>
      <c r="Q9" s="216">
        <f>Cliffe!D25</f>
        <v>340</v>
      </c>
      <c r="R9" s="261">
        <f t="shared" si="5"/>
        <v>56.666666666666664</v>
      </c>
      <c r="S9" s="261">
        <f t="shared" ref="S9:S15" si="6">R9/52</f>
        <v>1.0897435897435896</v>
      </c>
      <c r="T9" s="264">
        <f t="shared" ref="T9:T15" si="7">B9*52</f>
        <v>312</v>
      </c>
      <c r="V9" s="216">
        <v>48</v>
      </c>
      <c r="W9" s="216">
        <f t="shared" ref="W9:W16" si="8">V9*$V$2</f>
        <v>42.920634920634924</v>
      </c>
    </row>
    <row r="10" spans="1:26" x14ac:dyDescent="0.2">
      <c r="A10" s="187" t="s">
        <v>56</v>
      </c>
      <c r="B10" s="195">
        <f>Edward!I1</f>
        <v>7</v>
      </c>
      <c r="C10" s="216">
        <v>500</v>
      </c>
      <c r="D10" s="256">
        <v>0.6</v>
      </c>
      <c r="E10" s="218"/>
      <c r="F10" s="216">
        <f t="shared" si="0"/>
        <v>300</v>
      </c>
      <c r="G10" s="216">
        <f t="shared" si="1"/>
        <v>42.857142857142854</v>
      </c>
      <c r="I10" s="216">
        <v>16939</v>
      </c>
      <c r="J10" s="216">
        <f t="shared" si="2"/>
        <v>2419.8571428571427</v>
      </c>
      <c r="K10" s="216">
        <v>-272</v>
      </c>
      <c r="L10" s="216">
        <f t="shared" si="3"/>
        <v>16667</v>
      </c>
      <c r="M10" s="216">
        <f t="shared" si="4"/>
        <v>2381</v>
      </c>
      <c r="Q10" s="216">
        <f>Edward!D25</f>
        <v>400</v>
      </c>
      <c r="R10" s="261">
        <f t="shared" si="5"/>
        <v>57.142857142857146</v>
      </c>
      <c r="S10" s="261">
        <f t="shared" si="6"/>
        <v>1.098901098901099</v>
      </c>
      <c r="T10" s="264">
        <f t="shared" si="7"/>
        <v>364</v>
      </c>
      <c r="V10" s="216">
        <v>60</v>
      </c>
      <c r="W10" s="216">
        <f t="shared" si="8"/>
        <v>53.650793650793652</v>
      </c>
    </row>
    <row r="11" spans="1:26" x14ac:dyDescent="0.2">
      <c r="A11" s="187" t="s">
        <v>57</v>
      </c>
      <c r="B11" s="195">
        <f>Kingswood!I1</f>
        <v>12</v>
      </c>
      <c r="C11" s="216">
        <v>4500</v>
      </c>
      <c r="D11" s="256">
        <v>1</v>
      </c>
      <c r="E11" s="268"/>
      <c r="F11" s="216">
        <f t="shared" si="0"/>
        <v>4500</v>
      </c>
      <c r="G11" s="216">
        <f t="shared" si="1"/>
        <v>375</v>
      </c>
      <c r="I11" s="216">
        <v>14951</v>
      </c>
      <c r="J11" s="216">
        <f t="shared" si="2"/>
        <v>1245.9166666666667</v>
      </c>
      <c r="K11" s="216">
        <v>809</v>
      </c>
      <c r="L11" s="216">
        <f t="shared" si="3"/>
        <v>15760</v>
      </c>
      <c r="M11" s="216">
        <f t="shared" si="4"/>
        <v>1313.3333333333333</v>
      </c>
      <c r="Q11" s="216">
        <f>Kingswood!D29</f>
        <v>670</v>
      </c>
      <c r="R11" s="261">
        <f t="shared" si="5"/>
        <v>55.833333333333336</v>
      </c>
      <c r="S11" s="261">
        <f t="shared" si="6"/>
        <v>1.0737179487179487</v>
      </c>
      <c r="T11" s="264">
        <f t="shared" si="7"/>
        <v>624</v>
      </c>
      <c r="V11" s="216">
        <v>360</v>
      </c>
      <c r="W11" s="216">
        <f t="shared" si="8"/>
        <v>321.90476190476193</v>
      </c>
    </row>
    <row r="12" spans="1:26" x14ac:dyDescent="0.2">
      <c r="A12" s="187" t="s">
        <v>58</v>
      </c>
      <c r="B12" s="195">
        <f>'Muxlow '!I1</f>
        <v>12</v>
      </c>
      <c r="C12" s="216">
        <v>3200</v>
      </c>
      <c r="D12" s="256">
        <v>0.8</v>
      </c>
      <c r="E12" s="268"/>
      <c r="F12" s="216">
        <f t="shared" si="0"/>
        <v>2560</v>
      </c>
      <c r="G12" s="216">
        <f t="shared" si="1"/>
        <v>213.33333333333334</v>
      </c>
      <c r="I12" s="216">
        <v>3751</v>
      </c>
      <c r="J12" s="216">
        <f t="shared" si="2"/>
        <v>312.58333333333331</v>
      </c>
      <c r="K12" s="216">
        <v>462</v>
      </c>
      <c r="L12" s="216">
        <f t="shared" si="3"/>
        <v>4213</v>
      </c>
      <c r="M12" s="216">
        <f t="shared" si="4"/>
        <v>351.08333333333331</v>
      </c>
      <c r="Q12" s="216">
        <f>'Muxlow '!D26</f>
        <v>670</v>
      </c>
      <c r="R12" s="261">
        <f t="shared" si="5"/>
        <v>55.833333333333336</v>
      </c>
      <c r="S12" s="261">
        <f t="shared" si="6"/>
        <v>1.0737179487179487</v>
      </c>
      <c r="T12" s="264">
        <f t="shared" si="7"/>
        <v>624</v>
      </c>
      <c r="V12" s="216">
        <v>192</v>
      </c>
      <c r="W12" s="216">
        <f t="shared" si="8"/>
        <v>171.6825396825397</v>
      </c>
    </row>
    <row r="13" spans="1:26" x14ac:dyDescent="0.2">
      <c r="A13" s="187" t="s">
        <v>59</v>
      </c>
      <c r="B13" s="195">
        <f>Peveril!I1</f>
        <v>8</v>
      </c>
      <c r="C13" s="216">
        <v>1800</v>
      </c>
      <c r="D13" s="256">
        <v>0.8</v>
      </c>
      <c r="E13" s="218"/>
      <c r="F13" s="216">
        <f t="shared" si="0"/>
        <v>1440</v>
      </c>
      <c r="G13" s="216">
        <f t="shared" si="1"/>
        <v>180</v>
      </c>
      <c r="I13" s="216">
        <v>18728</v>
      </c>
      <c r="J13" s="216">
        <f t="shared" si="2"/>
        <v>2341</v>
      </c>
      <c r="K13" s="216">
        <v>-42</v>
      </c>
      <c r="L13" s="216">
        <f t="shared" si="3"/>
        <v>18686</v>
      </c>
      <c r="M13" s="216">
        <f t="shared" si="4"/>
        <v>2335.75</v>
      </c>
      <c r="Q13" s="216">
        <f>Peveril!D26</f>
        <v>450</v>
      </c>
      <c r="R13" s="261">
        <f t="shared" si="5"/>
        <v>56.25</v>
      </c>
      <c r="S13" s="261">
        <f t="shared" si="6"/>
        <v>1.0817307692307692</v>
      </c>
      <c r="T13" s="264">
        <f t="shared" si="7"/>
        <v>416</v>
      </c>
      <c r="V13" s="216">
        <v>132</v>
      </c>
      <c r="W13" s="216">
        <f t="shared" si="8"/>
        <v>118.03174603174604</v>
      </c>
    </row>
    <row r="14" spans="1:26" x14ac:dyDescent="0.2">
      <c r="A14" s="187" t="s">
        <v>60</v>
      </c>
      <c r="B14" s="195">
        <f>'Sheaf 1'!I1</f>
        <v>12</v>
      </c>
      <c r="C14" s="216">
        <v>3550</v>
      </c>
      <c r="D14" s="256">
        <v>0.9</v>
      </c>
      <c r="E14" s="218"/>
      <c r="F14" s="216">
        <f t="shared" si="0"/>
        <v>3195</v>
      </c>
      <c r="G14" s="216">
        <f t="shared" si="1"/>
        <v>266.25</v>
      </c>
      <c r="I14" s="216">
        <v>24270</v>
      </c>
      <c r="J14" s="216">
        <f t="shared" si="2"/>
        <v>2022.5</v>
      </c>
      <c r="K14" s="216">
        <v>-95</v>
      </c>
      <c r="L14" s="216">
        <f t="shared" si="3"/>
        <v>24175</v>
      </c>
      <c r="M14" s="216">
        <f t="shared" si="4"/>
        <v>2014.5833333333333</v>
      </c>
      <c r="Q14" s="216">
        <f>'Sheaf 1'!D27</f>
        <v>670</v>
      </c>
      <c r="R14" s="261">
        <f t="shared" si="5"/>
        <v>55.833333333333336</v>
      </c>
      <c r="S14" s="261">
        <f t="shared" si="6"/>
        <v>1.0737179487179487</v>
      </c>
      <c r="T14" s="264">
        <f t="shared" si="7"/>
        <v>624</v>
      </c>
      <c r="V14" s="216">
        <v>72</v>
      </c>
      <c r="W14" s="216">
        <f t="shared" si="8"/>
        <v>64.38095238095238</v>
      </c>
    </row>
    <row r="15" spans="1:26" x14ac:dyDescent="0.2">
      <c r="A15" s="187" t="s">
        <v>61</v>
      </c>
      <c r="B15" s="195">
        <f>'Sheaf 2'!I1</f>
        <v>32</v>
      </c>
      <c r="C15" s="216">
        <v>9500</v>
      </c>
      <c r="D15" s="256">
        <v>0.9</v>
      </c>
      <c r="E15" s="218"/>
      <c r="F15" s="216">
        <f t="shared" si="0"/>
        <v>8550</v>
      </c>
      <c r="G15" s="216">
        <f t="shared" si="1"/>
        <v>267.1875</v>
      </c>
      <c r="I15" s="216">
        <v>52981</v>
      </c>
      <c r="J15" s="216">
        <f t="shared" si="2"/>
        <v>1655.65625</v>
      </c>
      <c r="K15" s="216">
        <v>-373</v>
      </c>
      <c r="L15" s="216">
        <f t="shared" si="3"/>
        <v>52608</v>
      </c>
      <c r="M15" s="216">
        <f t="shared" si="4"/>
        <v>1644</v>
      </c>
      <c r="Q15" s="216">
        <f>'Sheaf 2'!D35</f>
        <v>1800</v>
      </c>
      <c r="R15" s="261">
        <f t="shared" si="5"/>
        <v>56.25</v>
      </c>
      <c r="S15" s="261">
        <f t="shared" si="6"/>
        <v>1.0817307692307692</v>
      </c>
      <c r="T15" s="264">
        <f t="shared" si="7"/>
        <v>1664</v>
      </c>
      <c r="V15" s="216">
        <v>252</v>
      </c>
      <c r="W15" s="216">
        <f t="shared" si="8"/>
        <v>225.33333333333334</v>
      </c>
    </row>
    <row r="16" spans="1:26" x14ac:dyDescent="0.2">
      <c r="A16" s="187" t="s">
        <v>62</v>
      </c>
      <c r="B16" s="195">
        <f>'Sheaf 3 Apts'!I1</f>
        <v>4</v>
      </c>
      <c r="C16" s="216">
        <v>700</v>
      </c>
      <c r="D16" s="256">
        <v>0.7</v>
      </c>
      <c r="E16" s="268"/>
      <c r="F16" s="216">
        <f t="shared" si="0"/>
        <v>489.99999999999994</v>
      </c>
      <c r="G16" s="216">
        <f t="shared" si="1"/>
        <v>122.49999999999999</v>
      </c>
      <c r="I16" s="216">
        <v>5610</v>
      </c>
      <c r="J16" s="216">
        <f t="shared" si="2"/>
        <v>1402.5</v>
      </c>
      <c r="K16" s="216">
        <v>-144</v>
      </c>
      <c r="L16" s="216">
        <f t="shared" si="3"/>
        <v>5466</v>
      </c>
      <c r="M16" s="216">
        <f t="shared" si="4"/>
        <v>1366.5</v>
      </c>
      <c r="Q16" s="216"/>
      <c r="R16" s="261"/>
      <c r="S16" s="261"/>
      <c r="T16" s="264"/>
      <c r="V16" s="216">
        <v>144</v>
      </c>
      <c r="W16" s="216">
        <f t="shared" si="8"/>
        <v>128.76190476190476</v>
      </c>
    </row>
    <row r="17" spans="1:26" x14ac:dyDescent="0.2">
      <c r="A17" s="187" t="s">
        <v>198</v>
      </c>
      <c r="B17" s="195">
        <f>'Sheaf 3 Building'!I1</f>
        <v>8</v>
      </c>
      <c r="C17" s="216">
        <v>2900</v>
      </c>
      <c r="D17" s="256">
        <v>1</v>
      </c>
      <c r="E17" s="218"/>
      <c r="F17" s="216">
        <f t="shared" si="0"/>
        <v>2900</v>
      </c>
      <c r="G17" s="216">
        <f t="shared" si="1"/>
        <v>362.5</v>
      </c>
      <c r="I17" s="216">
        <v>19996</v>
      </c>
      <c r="J17" s="216">
        <f t="shared" si="2"/>
        <v>2499.5</v>
      </c>
      <c r="K17" s="216">
        <v>440</v>
      </c>
      <c r="L17" s="216">
        <f t="shared" si="3"/>
        <v>20436</v>
      </c>
      <c r="M17" s="216">
        <f t="shared" si="4"/>
        <v>2554.5</v>
      </c>
      <c r="Q17" s="216">
        <f>'Sheaf 3 Building'!D8</f>
        <v>440</v>
      </c>
      <c r="R17" s="261">
        <f>Q17/B17</f>
        <v>55</v>
      </c>
      <c r="S17" s="261">
        <f t="shared" ref="S17:S18" si="9">R17/52</f>
        <v>1.0576923076923077</v>
      </c>
      <c r="T17" s="264">
        <f t="shared" ref="T17:T18" si="10">B17*52</f>
        <v>416</v>
      </c>
      <c r="V17" s="216"/>
      <c r="W17" s="216"/>
    </row>
    <row r="18" spans="1:26" x14ac:dyDescent="0.2">
      <c r="A18" s="187" t="s">
        <v>64</v>
      </c>
      <c r="B18" s="195">
        <f>Victoria!I1</f>
        <v>8</v>
      </c>
      <c r="C18" s="216">
        <v>400</v>
      </c>
      <c r="D18" s="256">
        <v>0.1</v>
      </c>
      <c r="E18" s="218"/>
      <c r="F18" s="216">
        <f t="shared" si="0"/>
        <v>40</v>
      </c>
      <c r="G18" s="216">
        <f t="shared" si="1"/>
        <v>5</v>
      </c>
      <c r="I18" s="216">
        <v>35623</v>
      </c>
      <c r="J18" s="216">
        <f t="shared" si="2"/>
        <v>4452.875</v>
      </c>
      <c r="K18" s="216">
        <v>458</v>
      </c>
      <c r="L18" s="216">
        <f t="shared" si="3"/>
        <v>36081</v>
      </c>
      <c r="M18" s="216">
        <f t="shared" si="4"/>
        <v>4510.125</v>
      </c>
      <c r="Q18" s="216">
        <f>Victoria!D26</f>
        <v>440</v>
      </c>
      <c r="R18" s="261">
        <f>Q18/B18</f>
        <v>55</v>
      </c>
      <c r="S18" s="261">
        <f t="shared" si="9"/>
        <v>1.0576923076923077</v>
      </c>
      <c r="T18" s="264">
        <f t="shared" si="10"/>
        <v>416</v>
      </c>
      <c r="V18" s="216">
        <v>144</v>
      </c>
      <c r="W18" s="216">
        <f>V18*$V$2</f>
        <v>128.76190476190476</v>
      </c>
    </row>
    <row r="19" spans="1:26" x14ac:dyDescent="0.2">
      <c r="A19" s="13"/>
      <c r="B19" s="219"/>
      <c r="D19" s="266"/>
      <c r="E19" s="219"/>
      <c r="F19" s="91"/>
      <c r="H19" s="210"/>
      <c r="T19" s="196"/>
      <c r="V19" s="216"/>
      <c r="W19" s="216"/>
    </row>
    <row r="20" spans="1:26" x14ac:dyDescent="0.2">
      <c r="A20" s="253" t="s">
        <v>244</v>
      </c>
      <c r="B20" s="195"/>
      <c r="C20" s="216">
        <f>SUM(C5:C19)</f>
        <v>55350</v>
      </c>
      <c r="D20" s="195"/>
      <c r="E20" s="219"/>
      <c r="F20" s="216">
        <f>SUM(F5:F19)</f>
        <v>52030</v>
      </c>
      <c r="G20" s="216">
        <f>SUM(G5:G19)</f>
        <v>3014.2536446396739</v>
      </c>
      <c r="H20" s="217"/>
      <c r="I20" s="216">
        <f>SUM(I5:I19)</f>
        <v>278699</v>
      </c>
      <c r="J20" s="216">
        <f>SUM(J5:J19)</f>
        <v>25004.523271050843</v>
      </c>
      <c r="K20" s="216">
        <f>SUM(K5:K19)</f>
        <v>-31921</v>
      </c>
      <c r="L20" s="216">
        <f>SUM(L5:L19)</f>
        <v>246778</v>
      </c>
      <c r="M20" s="216">
        <f>SUM(M5:M19)</f>
        <v>24937.256610219847</v>
      </c>
      <c r="Q20" s="216">
        <f>SUM(Q5:Q19)</f>
        <v>6380</v>
      </c>
      <c r="R20" s="216">
        <f>SUM(R5:R19)</f>
        <v>559.36507936507928</v>
      </c>
      <c r="S20" s="216"/>
      <c r="T20" s="245">
        <f>SUM(T5:T19)</f>
        <v>5928</v>
      </c>
      <c r="V20" s="216">
        <f>SUM(V5:V19)</f>
        <v>2268</v>
      </c>
      <c r="W20" s="216">
        <f>SUM(W5:W19)</f>
        <v>2028</v>
      </c>
    </row>
    <row r="21" spans="1:26" s="280" customFormat="1" x14ac:dyDescent="0.2">
      <c r="A21" s="31"/>
      <c r="B21" s="219"/>
      <c r="C21" s="210"/>
      <c r="D21" s="219"/>
      <c r="E21" s="219"/>
      <c r="F21" s="210"/>
      <c r="G21" s="210"/>
      <c r="H21" s="210"/>
      <c r="I21" s="210"/>
      <c r="J21" s="210"/>
      <c r="K21" s="210"/>
      <c r="L21" s="210"/>
      <c r="M21" s="210"/>
      <c r="N21" s="91"/>
      <c r="O21" s="257"/>
      <c r="P21" s="91"/>
      <c r="Q21" s="210"/>
      <c r="R21" s="210"/>
      <c r="S21" s="210"/>
      <c r="T21" s="294"/>
      <c r="U21" s="91"/>
      <c r="V21" s="210"/>
      <c r="W21" s="210"/>
      <c r="X21" s="91"/>
      <c r="Y21" s="91"/>
      <c r="Z21" s="91"/>
    </row>
    <row r="22" spans="1:26" x14ac:dyDescent="0.2">
      <c r="F22" s="91"/>
      <c r="H22" s="210"/>
      <c r="T22" s="91">
        <f>Q20-T20</f>
        <v>452</v>
      </c>
    </row>
    <row r="23" spans="1:26" ht="26.25" x14ac:dyDescent="0.2">
      <c r="A23" s="220" t="s">
        <v>213</v>
      </c>
      <c r="B23" s="221"/>
      <c r="C23" s="222"/>
      <c r="D23" s="224">
        <v>2019</v>
      </c>
      <c r="E23" s="223"/>
      <c r="F23" s="222"/>
      <c r="G23" s="222"/>
      <c r="H23" s="222"/>
      <c r="I23" s="222"/>
      <c r="J23" s="222"/>
      <c r="K23" s="222"/>
      <c r="L23" s="222"/>
      <c r="M23" s="222"/>
    </row>
    <row r="24" spans="1:26" s="228" customFormat="1" x14ac:dyDescent="0.2">
      <c r="B24" s="225"/>
      <c r="C24" s="226"/>
      <c r="D24" s="229"/>
      <c r="E24" s="227"/>
      <c r="F24" s="226"/>
      <c r="G24" s="226"/>
      <c r="H24" s="226"/>
      <c r="I24" s="226"/>
      <c r="J24" s="226"/>
      <c r="K24" s="226"/>
      <c r="L24" s="226"/>
      <c r="M24" s="226"/>
      <c r="N24" s="226"/>
      <c r="O24" s="257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</row>
    <row r="25" spans="1:26" s="228" customFormat="1" ht="30" customHeight="1" x14ac:dyDescent="0.2">
      <c r="A25" s="298" t="s">
        <v>218</v>
      </c>
      <c r="B25" s="299"/>
      <c r="C25" s="299"/>
      <c r="D25" s="299"/>
      <c r="E25" s="227"/>
      <c r="F25" s="226"/>
      <c r="G25" s="226"/>
      <c r="H25" s="226"/>
      <c r="I25" s="226"/>
      <c r="J25" s="226"/>
      <c r="K25" s="226"/>
      <c r="L25" s="226"/>
      <c r="M25" s="226"/>
      <c r="N25" s="226"/>
      <c r="O25" s="257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</row>
    <row r="26" spans="1:26" s="228" customFormat="1" x14ac:dyDescent="0.2">
      <c r="A26" s="230"/>
      <c r="B26" s="207"/>
      <c r="C26" s="207"/>
      <c r="D26" s="207"/>
      <c r="E26" s="227"/>
      <c r="F26" s="226"/>
      <c r="G26" s="226"/>
      <c r="H26" s="226"/>
      <c r="I26" s="226"/>
      <c r="J26" s="226"/>
      <c r="K26" s="226"/>
      <c r="L26" s="226"/>
      <c r="M26" s="226"/>
      <c r="N26" s="226"/>
      <c r="O26" s="257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</row>
    <row r="27" spans="1:26" s="16" customFormat="1" ht="30" customHeight="1" x14ac:dyDescent="0.2">
      <c r="A27" s="232" t="s">
        <v>215</v>
      </c>
      <c r="B27" s="250"/>
      <c r="C27" s="251"/>
      <c r="D27" s="211" t="s">
        <v>216</v>
      </c>
      <c r="E27" s="205"/>
      <c r="F27" s="226"/>
      <c r="H27" s="226"/>
      <c r="I27" s="226"/>
      <c r="J27" s="226"/>
      <c r="K27" s="226"/>
      <c r="L27" s="265"/>
      <c r="M27" s="265"/>
      <c r="N27" s="100"/>
      <c r="O27" s="259"/>
      <c r="P27" s="100"/>
      <c r="V27" s="100"/>
      <c r="W27" s="100"/>
      <c r="X27" s="100"/>
      <c r="Y27" s="100"/>
      <c r="Z27" s="100"/>
    </row>
    <row r="28" spans="1:26" s="13" customFormat="1" x14ac:dyDescent="0.2">
      <c r="A28" s="248"/>
      <c r="B28" s="249"/>
      <c r="D28" s="210"/>
      <c r="F28" s="226"/>
      <c r="H28" s="226"/>
      <c r="I28" s="226"/>
      <c r="J28" s="226"/>
      <c r="K28" s="226"/>
      <c r="L28" s="210"/>
      <c r="M28" s="210"/>
      <c r="N28" s="210"/>
      <c r="O28" s="260"/>
      <c r="P28" s="210"/>
      <c r="V28" s="210"/>
      <c r="W28" s="210"/>
      <c r="X28" s="210"/>
      <c r="Y28" s="210"/>
      <c r="Z28" s="210"/>
    </row>
    <row r="29" spans="1:26" x14ac:dyDescent="0.2">
      <c r="A29" s="232" t="s">
        <v>214</v>
      </c>
      <c r="B29" s="234"/>
      <c r="C29" s="247"/>
      <c r="D29" s="206"/>
      <c r="F29" s="226"/>
      <c r="G29" s="206"/>
      <c r="H29" s="226"/>
      <c r="I29" s="226"/>
    </row>
    <row r="30" spans="1:26" x14ac:dyDescent="0.2">
      <c r="A30" s="231" t="s">
        <v>186</v>
      </c>
      <c r="B30" s="234"/>
      <c r="C30" s="247"/>
      <c r="D30" s="247">
        <v>4608</v>
      </c>
      <c r="F30" s="226"/>
      <c r="G30" s="206"/>
      <c r="H30" s="226"/>
      <c r="I30" s="226"/>
    </row>
    <row r="31" spans="1:26" x14ac:dyDescent="0.2">
      <c r="A31" s="231" t="s">
        <v>188</v>
      </c>
      <c r="B31" s="234"/>
      <c r="C31" s="247"/>
      <c r="D31" s="247">
        <v>2000</v>
      </c>
      <c r="F31" s="226"/>
      <c r="G31" s="206"/>
      <c r="H31" s="226"/>
      <c r="I31" s="226"/>
    </row>
    <row r="32" spans="1:26" x14ac:dyDescent="0.2">
      <c r="A32" s="231" t="s">
        <v>143</v>
      </c>
      <c r="B32" s="234"/>
      <c r="C32" s="247"/>
      <c r="D32" s="247">
        <v>4499</v>
      </c>
      <c r="F32" s="226"/>
      <c r="G32" s="206"/>
      <c r="H32" s="226"/>
      <c r="I32" s="226"/>
    </row>
    <row r="33" spans="1:17" x14ac:dyDescent="0.2">
      <c r="A33" s="231" t="s">
        <v>144</v>
      </c>
      <c r="B33" s="234"/>
      <c r="C33" s="247"/>
      <c r="D33" s="247">
        <v>2100</v>
      </c>
      <c r="F33" s="210" t="s">
        <v>223</v>
      </c>
      <c r="G33" s="206"/>
    </row>
    <row r="34" spans="1:17" x14ac:dyDescent="0.2">
      <c r="A34" s="231" t="s">
        <v>220</v>
      </c>
      <c r="B34" s="234"/>
      <c r="C34" s="247"/>
      <c r="D34" s="247">
        <v>1588.8</v>
      </c>
      <c r="F34" s="210" t="s">
        <v>221</v>
      </c>
      <c r="G34" s="206"/>
    </row>
    <row r="35" spans="1:17" x14ac:dyDescent="0.2">
      <c r="A35" s="231"/>
      <c r="B35" s="234"/>
      <c r="C35" s="247"/>
      <c r="D35" s="247"/>
      <c r="F35" s="226"/>
      <c r="G35" s="206"/>
      <c r="H35" s="226"/>
      <c r="I35" s="226"/>
    </row>
    <row r="36" spans="1:17" x14ac:dyDescent="0.2">
      <c r="A36" s="254" t="s">
        <v>100</v>
      </c>
      <c r="B36" s="234"/>
      <c r="C36" s="247"/>
      <c r="D36" s="247">
        <f>-'Communal Management Costs'!D74</f>
        <v>-8500</v>
      </c>
      <c r="F36" s="226"/>
      <c r="G36" s="206"/>
      <c r="H36" s="226"/>
      <c r="I36" s="226"/>
    </row>
    <row r="37" spans="1:17" x14ac:dyDescent="0.2">
      <c r="A37" s="232" t="s">
        <v>253</v>
      </c>
      <c r="B37" s="250"/>
      <c r="C37" s="252"/>
      <c r="D37" s="252">
        <f>SUM(D29:D36)</f>
        <v>6295.7999999999993</v>
      </c>
      <c r="E37" s="241"/>
      <c r="F37" s="226"/>
      <c r="G37" s="206"/>
      <c r="H37" s="226"/>
      <c r="I37" s="226"/>
    </row>
    <row r="38" spans="1:17" x14ac:dyDescent="0.2">
      <c r="A38" s="248"/>
      <c r="B38" s="249"/>
      <c r="D38" s="210"/>
      <c r="F38" s="226"/>
      <c r="G38" s="206"/>
      <c r="H38" s="226"/>
      <c r="I38" s="226"/>
    </row>
    <row r="39" spans="1:17" x14ac:dyDescent="0.2">
      <c r="A39" s="232" t="s">
        <v>65</v>
      </c>
      <c r="B39" s="234"/>
      <c r="C39" s="247"/>
      <c r="D39" s="206"/>
      <c r="F39" s="226"/>
      <c r="G39" s="206"/>
      <c r="H39" s="226"/>
      <c r="I39" s="226"/>
      <c r="Q39" s="206"/>
    </row>
    <row r="40" spans="1:17" x14ac:dyDescent="0.2">
      <c r="A40" s="231" t="s">
        <v>45</v>
      </c>
      <c r="B40" s="234"/>
      <c r="C40" s="247"/>
      <c r="D40" s="216">
        <v>3216</v>
      </c>
      <c r="F40" s="91" t="s">
        <v>226</v>
      </c>
      <c r="G40" s="206"/>
    </row>
    <row r="41" spans="1:17" x14ac:dyDescent="0.2">
      <c r="A41" s="255" t="s">
        <v>150</v>
      </c>
      <c r="B41" s="234"/>
      <c r="C41" s="247"/>
      <c r="D41" s="216">
        <v>12000</v>
      </c>
      <c r="F41" s="210" t="s">
        <v>224</v>
      </c>
      <c r="G41" s="206"/>
    </row>
    <row r="42" spans="1:17" x14ac:dyDescent="0.2">
      <c r="A42" s="255"/>
      <c r="B42" s="234"/>
      <c r="C42" s="247"/>
      <c r="D42" s="216"/>
      <c r="F42" s="226"/>
      <c r="G42" s="206"/>
      <c r="H42" s="226"/>
      <c r="I42" s="226"/>
    </row>
    <row r="43" spans="1:17" x14ac:dyDescent="0.2">
      <c r="A43" s="254" t="s">
        <v>100</v>
      </c>
      <c r="B43" s="234"/>
      <c r="C43" s="247"/>
      <c r="D43" s="247">
        <f>-'Leisure Suite'!D67</f>
        <v>-12000</v>
      </c>
      <c r="F43" s="226"/>
      <c r="G43" s="206"/>
      <c r="H43" s="226"/>
      <c r="I43" s="226"/>
      <c r="Q43" s="206"/>
    </row>
    <row r="44" spans="1:17" x14ac:dyDescent="0.2">
      <c r="A44" s="232" t="s">
        <v>253</v>
      </c>
      <c r="B44" s="250"/>
      <c r="C44" s="252"/>
      <c r="D44" s="233">
        <f>SUM(D39:D43)</f>
        <v>3216</v>
      </c>
      <c r="F44" s="226"/>
      <c r="G44" s="206"/>
      <c r="H44" s="226"/>
      <c r="I44" s="226"/>
    </row>
    <row r="45" spans="1:17" x14ac:dyDescent="0.2">
      <c r="B45" s="206"/>
      <c r="C45" s="206"/>
      <c r="D45" s="206"/>
      <c r="E45" s="206"/>
      <c r="F45" s="226"/>
      <c r="G45" s="206"/>
      <c r="H45" s="226"/>
      <c r="I45" s="226"/>
    </row>
    <row r="46" spans="1:17" x14ac:dyDescent="0.2">
      <c r="A46" s="232" t="s">
        <v>243</v>
      </c>
      <c r="B46" s="234"/>
      <c r="C46" s="247"/>
      <c r="F46" s="226"/>
      <c r="G46" s="206"/>
      <c r="H46" s="226"/>
      <c r="I46" s="226"/>
    </row>
    <row r="47" spans="1:17" x14ac:dyDescent="0.2">
      <c r="A47" s="254"/>
      <c r="B47" s="234"/>
      <c r="C47" s="247"/>
      <c r="D47" s="216"/>
      <c r="F47" s="210" t="s">
        <v>250</v>
      </c>
      <c r="G47" s="206"/>
    </row>
    <row r="48" spans="1:17" x14ac:dyDescent="0.2">
      <c r="A48" s="255"/>
      <c r="B48" s="234"/>
      <c r="C48" s="247"/>
      <c r="D48" s="216"/>
      <c r="F48" s="210" t="s">
        <v>251</v>
      </c>
      <c r="G48" s="206"/>
    </row>
    <row r="49" spans="1:9" x14ac:dyDescent="0.2">
      <c r="A49" s="254" t="s">
        <v>100</v>
      </c>
      <c r="B49" s="234"/>
      <c r="C49" s="247"/>
      <c r="D49" s="247">
        <f>-Alexandra!D28</f>
        <v>-180</v>
      </c>
      <c r="F49" s="226"/>
      <c r="G49" s="206"/>
      <c r="H49" s="226"/>
      <c r="I49" s="226"/>
    </row>
    <row r="50" spans="1:9" x14ac:dyDescent="0.2">
      <c r="A50" s="232" t="s">
        <v>253</v>
      </c>
      <c r="B50" s="250"/>
      <c r="C50" s="252"/>
      <c r="D50" s="233">
        <f>SUM(D46:D49)</f>
        <v>-180</v>
      </c>
      <c r="F50" s="226"/>
      <c r="G50" s="206"/>
      <c r="H50" s="226"/>
      <c r="I50" s="226"/>
    </row>
    <row r="51" spans="1:9" x14ac:dyDescent="0.2">
      <c r="A51" s="31"/>
      <c r="B51" s="204"/>
      <c r="C51" s="241"/>
      <c r="D51" s="241"/>
      <c r="F51" s="226"/>
      <c r="G51" s="206"/>
      <c r="H51" s="226"/>
      <c r="I51" s="226"/>
    </row>
    <row r="52" spans="1:9" x14ac:dyDescent="0.2">
      <c r="A52" s="232" t="s">
        <v>196</v>
      </c>
      <c r="B52" s="234"/>
      <c r="C52" s="247"/>
      <c r="F52" s="226"/>
      <c r="G52" s="206"/>
      <c r="H52" s="226"/>
      <c r="I52" s="226"/>
    </row>
    <row r="53" spans="1:9" x14ac:dyDescent="0.2">
      <c r="A53" s="231" t="s">
        <v>122</v>
      </c>
      <c r="B53" s="234"/>
      <c r="C53" s="247"/>
      <c r="D53" s="216">
        <v>400</v>
      </c>
      <c r="F53" s="226"/>
      <c r="G53" s="206"/>
      <c r="H53" s="226"/>
      <c r="I53" s="226"/>
    </row>
    <row r="54" spans="1:9" x14ac:dyDescent="0.2">
      <c r="A54" s="255"/>
      <c r="B54" s="234"/>
      <c r="C54" s="247"/>
      <c r="D54" s="216"/>
      <c r="F54" s="226"/>
      <c r="G54" s="206"/>
      <c r="H54" s="226"/>
      <c r="I54" s="226"/>
    </row>
    <row r="55" spans="1:9" x14ac:dyDescent="0.2">
      <c r="A55" s="254" t="s">
        <v>100</v>
      </c>
      <c r="B55" s="234"/>
      <c r="C55" s="247"/>
      <c r="D55" s="247">
        <f>-'Alexandra Building'!D13</f>
        <v>-3675</v>
      </c>
      <c r="F55" s="226"/>
      <c r="G55" s="206"/>
      <c r="H55" s="226"/>
      <c r="I55" s="226"/>
    </row>
    <row r="56" spans="1:9" x14ac:dyDescent="0.2">
      <c r="A56" s="232" t="s">
        <v>253</v>
      </c>
      <c r="B56" s="250"/>
      <c r="C56" s="252"/>
      <c r="D56" s="233">
        <f>SUM(D52:D55)</f>
        <v>-3275</v>
      </c>
      <c r="F56" s="226"/>
      <c r="G56" s="206"/>
      <c r="H56" s="226"/>
      <c r="I56" s="226"/>
    </row>
    <row r="57" spans="1:9" x14ac:dyDescent="0.2">
      <c r="F57" s="226"/>
      <c r="G57" s="206"/>
      <c r="H57" s="226"/>
      <c r="I57" s="226"/>
    </row>
    <row r="58" spans="1:9" x14ac:dyDescent="0.2">
      <c r="A58" s="232" t="s">
        <v>55</v>
      </c>
      <c r="B58" s="234"/>
      <c r="C58" s="247"/>
      <c r="F58" s="226"/>
      <c r="G58" s="206"/>
      <c r="H58" s="226"/>
      <c r="I58" s="226"/>
    </row>
    <row r="59" spans="1:9" x14ac:dyDescent="0.2">
      <c r="A59" s="231" t="s">
        <v>11</v>
      </c>
      <c r="B59" s="234"/>
      <c r="C59" s="247"/>
      <c r="D59" s="216">
        <v>766.38</v>
      </c>
      <c r="F59" s="210" t="s">
        <v>225</v>
      </c>
      <c r="G59" s="206"/>
    </row>
    <row r="60" spans="1:9" x14ac:dyDescent="0.2">
      <c r="A60" s="231" t="s">
        <v>122</v>
      </c>
      <c r="B60" s="234"/>
      <c r="C60" s="247"/>
      <c r="D60" s="216"/>
      <c r="F60" s="226"/>
      <c r="G60" s="206"/>
      <c r="H60" s="226"/>
      <c r="I60" s="226"/>
    </row>
    <row r="61" spans="1:9" x14ac:dyDescent="0.2">
      <c r="A61" s="255"/>
      <c r="B61" s="234"/>
      <c r="C61" s="247"/>
      <c r="D61" s="216"/>
      <c r="F61" s="226"/>
      <c r="G61" s="206"/>
      <c r="H61" s="226"/>
      <c r="I61" s="226"/>
    </row>
    <row r="62" spans="1:9" x14ac:dyDescent="0.2">
      <c r="A62" s="254" t="s">
        <v>100</v>
      </c>
      <c r="B62" s="234"/>
      <c r="C62" s="247"/>
      <c r="D62" s="247">
        <f>-Cliffe!D29</f>
        <v>-3700</v>
      </c>
      <c r="F62" s="226"/>
      <c r="G62" s="206"/>
      <c r="H62" s="226"/>
      <c r="I62" s="226"/>
    </row>
    <row r="63" spans="1:9" x14ac:dyDescent="0.2">
      <c r="A63" s="232" t="s">
        <v>253</v>
      </c>
      <c r="B63" s="250"/>
      <c r="C63" s="252"/>
      <c r="D63" s="233">
        <f>SUM(D58:D62)</f>
        <v>-2933.62</v>
      </c>
      <c r="F63" s="226"/>
      <c r="G63" s="206"/>
      <c r="H63" s="226"/>
      <c r="I63" s="226"/>
    </row>
    <row r="64" spans="1:9" x14ac:dyDescent="0.2">
      <c r="F64" s="226"/>
      <c r="G64" s="206"/>
      <c r="H64" s="226"/>
      <c r="I64" s="226"/>
    </row>
    <row r="65" spans="1:9" x14ac:dyDescent="0.2">
      <c r="A65" s="232" t="s">
        <v>56</v>
      </c>
      <c r="B65" s="234"/>
      <c r="C65" s="247"/>
      <c r="F65" s="226"/>
      <c r="G65" s="206"/>
      <c r="H65" s="226"/>
      <c r="I65" s="226"/>
    </row>
    <row r="66" spans="1:9" x14ac:dyDescent="0.2">
      <c r="A66" s="231" t="s">
        <v>122</v>
      </c>
      <c r="B66" s="234"/>
      <c r="C66" s="247"/>
      <c r="D66" s="216"/>
      <c r="F66" s="226"/>
      <c r="G66" s="206"/>
      <c r="H66" s="226"/>
      <c r="I66" s="226"/>
    </row>
    <row r="67" spans="1:9" x14ac:dyDescent="0.2">
      <c r="A67" s="255"/>
      <c r="B67" s="234"/>
      <c r="C67" s="247"/>
      <c r="D67" s="216"/>
      <c r="F67" s="226"/>
      <c r="G67" s="206"/>
      <c r="H67" s="226"/>
      <c r="I67" s="226"/>
    </row>
    <row r="68" spans="1:9" x14ac:dyDescent="0.2">
      <c r="A68" s="254" t="s">
        <v>100</v>
      </c>
      <c r="B68" s="234"/>
      <c r="C68" s="247"/>
      <c r="D68" s="247">
        <f>-Edward!D29</f>
        <v>-300</v>
      </c>
      <c r="F68" s="226"/>
      <c r="G68" s="206"/>
      <c r="H68" s="226"/>
      <c r="I68" s="226"/>
    </row>
    <row r="69" spans="1:9" x14ac:dyDescent="0.2">
      <c r="A69" s="232" t="s">
        <v>253</v>
      </c>
      <c r="B69" s="250"/>
      <c r="C69" s="252"/>
      <c r="D69" s="233">
        <f>SUM(D65:D68)</f>
        <v>-300</v>
      </c>
      <c r="F69" s="226"/>
      <c r="G69" s="206"/>
      <c r="H69" s="226"/>
      <c r="I69" s="226"/>
    </row>
    <row r="70" spans="1:9" x14ac:dyDescent="0.2">
      <c r="F70" s="226"/>
      <c r="G70" s="206"/>
      <c r="H70" s="226"/>
      <c r="I70" s="226"/>
    </row>
    <row r="71" spans="1:9" x14ac:dyDescent="0.2">
      <c r="A71" s="232" t="s">
        <v>57</v>
      </c>
      <c r="B71" s="234"/>
      <c r="C71" s="247"/>
      <c r="F71" s="226"/>
      <c r="G71" s="206"/>
      <c r="H71" s="226"/>
      <c r="I71" s="226"/>
    </row>
    <row r="72" spans="1:9" x14ac:dyDescent="0.2">
      <c r="A72" s="231" t="s">
        <v>122</v>
      </c>
      <c r="B72" s="234"/>
      <c r="C72" s="247"/>
      <c r="D72" s="216">
        <v>1500</v>
      </c>
      <c r="F72" s="226"/>
      <c r="G72" s="206"/>
      <c r="H72" s="226"/>
      <c r="I72" s="226"/>
    </row>
    <row r="73" spans="1:9" x14ac:dyDescent="0.2">
      <c r="A73" s="255"/>
      <c r="B73" s="234"/>
      <c r="C73" s="247"/>
      <c r="D73" s="216"/>
      <c r="F73" s="226"/>
      <c r="G73" s="206"/>
      <c r="H73" s="226"/>
      <c r="I73" s="226"/>
    </row>
    <row r="74" spans="1:9" x14ac:dyDescent="0.2">
      <c r="A74" s="254" t="s">
        <v>100</v>
      </c>
      <c r="B74" s="234"/>
      <c r="C74" s="247"/>
      <c r="D74" s="247">
        <f>-Kingswood!D33</f>
        <v>-4500</v>
      </c>
      <c r="F74" s="226"/>
      <c r="G74" s="206"/>
      <c r="H74" s="226"/>
      <c r="I74" s="226"/>
    </row>
    <row r="75" spans="1:9" x14ac:dyDescent="0.2">
      <c r="A75" s="232" t="s">
        <v>253</v>
      </c>
      <c r="B75" s="250"/>
      <c r="C75" s="252"/>
      <c r="D75" s="233">
        <f>SUM(D71:D74)</f>
        <v>-3000</v>
      </c>
      <c r="F75" s="226"/>
      <c r="G75" s="206"/>
      <c r="H75" s="226"/>
      <c r="I75" s="226"/>
    </row>
    <row r="76" spans="1:9" x14ac:dyDescent="0.2">
      <c r="F76" s="226"/>
      <c r="H76" s="226"/>
      <c r="I76" s="226"/>
    </row>
    <row r="77" spans="1:9" x14ac:dyDescent="0.2">
      <c r="A77" s="232" t="s">
        <v>58</v>
      </c>
      <c r="B77" s="234"/>
      <c r="C77" s="247"/>
      <c r="F77" s="226"/>
      <c r="G77" s="206"/>
      <c r="H77" s="226"/>
      <c r="I77" s="226"/>
    </row>
    <row r="78" spans="1:9" x14ac:dyDescent="0.2">
      <c r="A78" s="231" t="s">
        <v>122</v>
      </c>
      <c r="B78" s="234"/>
      <c r="C78" s="247"/>
      <c r="D78" s="216">
        <v>1000</v>
      </c>
      <c r="F78" s="226"/>
      <c r="G78" s="206"/>
      <c r="H78" s="226"/>
      <c r="I78" s="226"/>
    </row>
    <row r="79" spans="1:9" x14ac:dyDescent="0.2">
      <c r="A79" s="255"/>
      <c r="B79" s="234"/>
      <c r="C79" s="247"/>
      <c r="D79" s="216"/>
      <c r="F79" s="226"/>
      <c r="G79" s="206"/>
      <c r="H79" s="226"/>
      <c r="I79" s="226"/>
    </row>
    <row r="80" spans="1:9" x14ac:dyDescent="0.2">
      <c r="A80" s="254" t="s">
        <v>100</v>
      </c>
      <c r="B80" s="234"/>
      <c r="C80" s="247"/>
      <c r="D80" s="247">
        <f>-'Muxlow '!D30</f>
        <v>-2560</v>
      </c>
      <c r="F80" s="226"/>
      <c r="G80" s="206"/>
      <c r="H80" s="226"/>
      <c r="I80" s="226"/>
    </row>
    <row r="81" spans="1:9" x14ac:dyDescent="0.2">
      <c r="A81" s="232" t="s">
        <v>253</v>
      </c>
      <c r="B81" s="250"/>
      <c r="C81" s="252"/>
      <c r="D81" s="233">
        <f>SUM(D77:D80)</f>
        <v>-1560</v>
      </c>
      <c r="F81" s="226"/>
      <c r="G81" s="206"/>
      <c r="H81" s="226"/>
      <c r="I81" s="226"/>
    </row>
    <row r="82" spans="1:9" x14ac:dyDescent="0.2">
      <c r="F82" s="226"/>
      <c r="G82" s="206"/>
      <c r="H82" s="226"/>
      <c r="I82" s="226"/>
    </row>
    <row r="83" spans="1:9" x14ac:dyDescent="0.2">
      <c r="A83" s="232" t="s">
        <v>59</v>
      </c>
      <c r="B83" s="234"/>
      <c r="C83" s="247"/>
      <c r="F83" s="226"/>
      <c r="G83" s="206"/>
      <c r="H83" s="226"/>
      <c r="I83" s="226"/>
    </row>
    <row r="84" spans="1:9" x14ac:dyDescent="0.2">
      <c r="A84" s="231" t="s">
        <v>122</v>
      </c>
      <c r="B84" s="234"/>
      <c r="C84" s="247"/>
      <c r="D84" s="216">
        <v>2000</v>
      </c>
      <c r="F84" s="226"/>
      <c r="G84" s="206"/>
      <c r="H84" s="226"/>
      <c r="I84" s="226"/>
    </row>
    <row r="85" spans="1:9" x14ac:dyDescent="0.2">
      <c r="A85" s="255"/>
      <c r="B85" s="234"/>
      <c r="C85" s="247"/>
      <c r="D85" s="216"/>
      <c r="F85" s="226"/>
      <c r="G85" s="206"/>
      <c r="H85" s="226"/>
      <c r="I85" s="226"/>
    </row>
    <row r="86" spans="1:9" x14ac:dyDescent="0.2">
      <c r="A86" s="254" t="s">
        <v>100</v>
      </c>
      <c r="B86" s="234"/>
      <c r="C86" s="247"/>
      <c r="D86" s="247">
        <f>-Peveril!D30</f>
        <v>-1440</v>
      </c>
      <c r="F86" s="226"/>
      <c r="G86" s="206"/>
      <c r="H86" s="226"/>
      <c r="I86" s="226"/>
    </row>
    <row r="87" spans="1:9" x14ac:dyDescent="0.2">
      <c r="A87" s="232" t="s">
        <v>253</v>
      </c>
      <c r="B87" s="250"/>
      <c r="C87" s="252"/>
      <c r="D87" s="233">
        <f>SUM(D83:D86)</f>
        <v>560</v>
      </c>
      <c r="F87" s="226"/>
      <c r="G87" s="206"/>
      <c r="H87" s="226"/>
      <c r="I87" s="226"/>
    </row>
    <row r="88" spans="1:9" x14ac:dyDescent="0.2">
      <c r="F88" s="226"/>
      <c r="H88" s="226"/>
      <c r="I88" s="226"/>
    </row>
    <row r="89" spans="1:9" x14ac:dyDescent="0.2">
      <c r="A89" s="232" t="s">
        <v>60</v>
      </c>
      <c r="B89" s="234"/>
      <c r="C89" s="247"/>
      <c r="F89" s="226"/>
      <c r="G89" s="206"/>
      <c r="H89" s="226"/>
      <c r="I89" s="226"/>
    </row>
    <row r="90" spans="1:9" x14ac:dyDescent="0.2">
      <c r="A90" s="231" t="s">
        <v>122</v>
      </c>
      <c r="B90" s="234"/>
      <c r="C90" s="247"/>
      <c r="D90" s="216">
        <v>1000</v>
      </c>
      <c r="F90" s="226"/>
      <c r="G90" s="206"/>
      <c r="H90" s="226"/>
      <c r="I90" s="226"/>
    </row>
    <row r="91" spans="1:9" x14ac:dyDescent="0.2">
      <c r="A91" s="255"/>
      <c r="B91" s="234"/>
      <c r="C91" s="247"/>
      <c r="D91" s="216"/>
      <c r="F91" s="226"/>
      <c r="G91" s="206"/>
      <c r="H91" s="226"/>
      <c r="I91" s="226"/>
    </row>
    <row r="92" spans="1:9" x14ac:dyDescent="0.2">
      <c r="A92" s="254" t="s">
        <v>100</v>
      </c>
      <c r="B92" s="234"/>
      <c r="C92" s="247"/>
      <c r="D92" s="247">
        <f>-'Sheaf 1'!D31</f>
        <v>-3195</v>
      </c>
      <c r="F92" s="226"/>
      <c r="G92" s="206"/>
      <c r="H92" s="226"/>
      <c r="I92" s="226"/>
    </row>
    <row r="93" spans="1:9" x14ac:dyDescent="0.2">
      <c r="A93" s="232" t="s">
        <v>253</v>
      </c>
      <c r="B93" s="250"/>
      <c r="C93" s="252"/>
      <c r="D93" s="233">
        <f>SUM(D89:D92)</f>
        <v>-2195</v>
      </c>
      <c r="F93" s="226"/>
      <c r="G93" s="206"/>
      <c r="H93" s="226"/>
      <c r="I93" s="226"/>
    </row>
    <row r="94" spans="1:9" x14ac:dyDescent="0.2">
      <c r="F94" s="226"/>
      <c r="H94" s="226"/>
      <c r="I94" s="226"/>
    </row>
    <row r="95" spans="1:9" x14ac:dyDescent="0.2">
      <c r="A95" s="232" t="s">
        <v>61</v>
      </c>
      <c r="B95" s="234"/>
      <c r="C95" s="247"/>
      <c r="F95" s="226"/>
      <c r="G95" s="206"/>
      <c r="H95" s="226"/>
      <c r="I95" s="226"/>
    </row>
    <row r="96" spans="1:9" x14ac:dyDescent="0.2">
      <c r="A96" s="231" t="s">
        <v>122</v>
      </c>
      <c r="B96" s="234"/>
      <c r="C96" s="247"/>
      <c r="D96" s="216"/>
      <c r="F96" s="226"/>
      <c r="G96" s="206"/>
      <c r="H96" s="226"/>
      <c r="I96" s="226"/>
    </row>
    <row r="97" spans="1:9" x14ac:dyDescent="0.2">
      <c r="A97" s="255"/>
      <c r="B97" s="234"/>
      <c r="C97" s="247"/>
      <c r="D97" s="216"/>
      <c r="F97" s="226"/>
      <c r="G97" s="206"/>
      <c r="H97" s="226"/>
      <c r="I97" s="226"/>
    </row>
    <row r="98" spans="1:9" x14ac:dyDescent="0.2">
      <c r="A98" s="254" t="s">
        <v>100</v>
      </c>
      <c r="B98" s="234"/>
      <c r="C98" s="247"/>
      <c r="D98" s="247">
        <f>-'Sheaf 2'!D39</f>
        <v>-8550</v>
      </c>
      <c r="F98" s="226"/>
      <c r="G98" s="206"/>
      <c r="H98" s="226"/>
      <c r="I98" s="226"/>
    </row>
    <row r="99" spans="1:9" x14ac:dyDescent="0.2">
      <c r="A99" s="232" t="s">
        <v>253</v>
      </c>
      <c r="B99" s="250"/>
      <c r="C99" s="252"/>
      <c r="D99" s="233">
        <f>SUM(D95:D98)</f>
        <v>-8550</v>
      </c>
      <c r="F99" s="226"/>
      <c r="G99" s="206"/>
      <c r="H99" s="226"/>
      <c r="I99" s="226"/>
    </row>
    <row r="100" spans="1:9" x14ac:dyDescent="0.2">
      <c r="F100" s="226"/>
      <c r="G100" s="206"/>
      <c r="H100" s="226"/>
      <c r="I100" s="226"/>
    </row>
    <row r="101" spans="1:9" x14ac:dyDescent="0.2">
      <c r="A101" s="232" t="s">
        <v>62</v>
      </c>
      <c r="B101" s="234"/>
      <c r="C101" s="247"/>
      <c r="F101" s="226"/>
      <c r="G101" s="206"/>
      <c r="H101" s="226"/>
      <c r="I101" s="226"/>
    </row>
    <row r="102" spans="1:9" x14ac:dyDescent="0.2">
      <c r="A102" s="231"/>
      <c r="B102" s="234"/>
      <c r="C102" s="247"/>
      <c r="D102" s="216"/>
      <c r="F102" s="210" t="s">
        <v>250</v>
      </c>
      <c r="G102" s="206"/>
    </row>
    <row r="103" spans="1:9" x14ac:dyDescent="0.2">
      <c r="A103" s="255"/>
      <c r="B103" s="234"/>
      <c r="C103" s="247"/>
      <c r="D103" s="216"/>
      <c r="F103" s="210" t="s">
        <v>251</v>
      </c>
      <c r="G103" s="206"/>
    </row>
    <row r="104" spans="1:9" x14ac:dyDescent="0.2">
      <c r="A104" s="254" t="s">
        <v>100</v>
      </c>
      <c r="B104" s="234"/>
      <c r="C104" s="247"/>
      <c r="D104" s="247">
        <f>-'Sheaf 3 Apts'!D28</f>
        <v>-489.99999999999994</v>
      </c>
      <c r="F104" s="226"/>
      <c r="G104" s="206"/>
      <c r="H104" s="226"/>
      <c r="I104" s="226"/>
    </row>
    <row r="105" spans="1:9" x14ac:dyDescent="0.2">
      <c r="A105" s="232" t="s">
        <v>253</v>
      </c>
      <c r="B105" s="250"/>
      <c r="C105" s="252"/>
      <c r="D105" s="233">
        <f>SUM(D101:D104)</f>
        <v>-489.99999999999994</v>
      </c>
      <c r="F105" s="226"/>
      <c r="G105" s="206"/>
      <c r="H105" s="226"/>
      <c r="I105" s="226"/>
    </row>
    <row r="106" spans="1:9" x14ac:dyDescent="0.2">
      <c r="A106" s="31"/>
      <c r="B106" s="204"/>
      <c r="C106" s="241"/>
      <c r="D106" s="241"/>
      <c r="F106" s="226"/>
      <c r="G106" s="206"/>
      <c r="H106" s="226"/>
      <c r="I106" s="226"/>
    </row>
    <row r="107" spans="1:9" x14ac:dyDescent="0.2">
      <c r="A107" s="232" t="s">
        <v>198</v>
      </c>
      <c r="B107" s="234"/>
      <c r="C107" s="247"/>
      <c r="F107" s="226"/>
      <c r="G107" s="206"/>
      <c r="H107" s="226"/>
      <c r="I107" s="226"/>
    </row>
    <row r="108" spans="1:9" x14ac:dyDescent="0.2">
      <c r="A108" s="231" t="s">
        <v>122</v>
      </c>
      <c r="B108" s="234"/>
      <c r="C108" s="247"/>
      <c r="D108" s="216"/>
      <c r="F108" s="226"/>
      <c r="G108" s="206"/>
      <c r="H108" s="226"/>
      <c r="I108" s="226"/>
    </row>
    <row r="109" spans="1:9" x14ac:dyDescent="0.2">
      <c r="A109" s="255"/>
      <c r="B109" s="234"/>
      <c r="C109" s="247"/>
      <c r="D109" s="216"/>
      <c r="F109" s="226"/>
      <c r="G109" s="206"/>
      <c r="H109" s="226"/>
      <c r="I109" s="226"/>
    </row>
    <row r="110" spans="1:9" x14ac:dyDescent="0.2">
      <c r="A110" s="254" t="s">
        <v>100</v>
      </c>
      <c r="B110" s="234"/>
      <c r="C110" s="247"/>
      <c r="D110" s="247">
        <f>-'Sheaf 3 Building'!D13</f>
        <v>-2900</v>
      </c>
      <c r="F110" s="226"/>
      <c r="G110" s="206"/>
      <c r="H110" s="226"/>
      <c r="I110" s="226"/>
    </row>
    <row r="111" spans="1:9" x14ac:dyDescent="0.2">
      <c r="A111" s="232" t="s">
        <v>253</v>
      </c>
      <c r="B111" s="250"/>
      <c r="C111" s="252"/>
      <c r="D111" s="233">
        <f>SUM(D107:D110)</f>
        <v>-2900</v>
      </c>
      <c r="F111" s="226"/>
      <c r="G111" s="206"/>
      <c r="H111" s="226"/>
      <c r="I111" s="226"/>
    </row>
    <row r="112" spans="1:9" x14ac:dyDescent="0.2">
      <c r="F112" s="226"/>
      <c r="G112" s="206"/>
      <c r="H112" s="226"/>
      <c r="I112" s="226"/>
    </row>
    <row r="113" spans="1:9" x14ac:dyDescent="0.2">
      <c r="A113" s="232" t="s">
        <v>64</v>
      </c>
      <c r="B113" s="234"/>
      <c r="C113" s="247"/>
      <c r="F113" s="226"/>
      <c r="G113" s="206"/>
      <c r="H113" s="226"/>
      <c r="I113" s="226"/>
    </row>
    <row r="114" spans="1:9" x14ac:dyDescent="0.2">
      <c r="A114" s="231" t="s">
        <v>122</v>
      </c>
      <c r="B114" s="234"/>
      <c r="C114" s="247"/>
      <c r="D114" s="216">
        <v>1400</v>
      </c>
      <c r="F114" s="226"/>
      <c r="G114" s="206"/>
      <c r="H114" s="226"/>
      <c r="I114" s="226"/>
    </row>
    <row r="115" spans="1:9" x14ac:dyDescent="0.2">
      <c r="A115" s="255"/>
      <c r="B115" s="234"/>
      <c r="C115" s="247"/>
      <c r="D115" s="216"/>
      <c r="F115" s="226"/>
      <c r="G115" s="206"/>
      <c r="H115" s="226"/>
      <c r="I115" s="226"/>
    </row>
    <row r="116" spans="1:9" x14ac:dyDescent="0.2">
      <c r="A116" s="254" t="s">
        <v>100</v>
      </c>
      <c r="B116" s="234"/>
      <c r="C116" s="247"/>
      <c r="D116" s="247">
        <f>-Victoria!D30</f>
        <v>-40</v>
      </c>
      <c r="F116" s="226"/>
      <c r="G116" s="206"/>
      <c r="H116" s="226"/>
      <c r="I116" s="226"/>
    </row>
    <row r="117" spans="1:9" x14ac:dyDescent="0.2">
      <c r="A117" s="232" t="s">
        <v>253</v>
      </c>
      <c r="B117" s="250"/>
      <c r="C117" s="252"/>
      <c r="D117" s="233">
        <f>SUM(D113:D116)</f>
        <v>1360</v>
      </c>
      <c r="F117" s="226"/>
      <c r="G117" s="206"/>
      <c r="H117" s="226"/>
      <c r="I117" s="226"/>
    </row>
    <row r="118" spans="1:9" x14ac:dyDescent="0.2">
      <c r="F118" s="226"/>
      <c r="G118" s="226"/>
      <c r="H118" s="226"/>
      <c r="I118" s="226"/>
    </row>
    <row r="119" spans="1:9" x14ac:dyDescent="0.2">
      <c r="F119" s="226"/>
      <c r="G119" s="226"/>
      <c r="H119" s="226"/>
      <c r="I119" s="226"/>
    </row>
  </sheetData>
  <sheetProtection algorithmName="SHA-512" hashValue="xg1LieiMkw/JINKFp42cLSiidRg7hksA0690Nlh/vjBb+g3jfJi2FtrqOvFTKzu34zn6uIdxNnaFLvGcVcvKFQ==" saltValue="JGorBsZAUcD3lA+SZVZZCw==" spinCount="100000" sheet="1" objects="1" scenarios="1"/>
  <mergeCells count="6">
    <mergeCell ref="A25:D25"/>
    <mergeCell ref="V3:W3"/>
    <mergeCell ref="Q3:T3"/>
    <mergeCell ref="A3:G3"/>
    <mergeCell ref="I3:J3"/>
    <mergeCell ref="K3:M3"/>
  </mergeCells>
  <conditionalFormatting sqref="I5:I18">
    <cfRule type="cellIs" dxfId="0" priority="1" operator="greaterThan">
      <formula>10000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37"/>
  <sheetViews>
    <sheetView showGridLines="0" zoomScale="80" zoomScaleNormal="80" workbookViewId="0"/>
  </sheetViews>
  <sheetFormatPr defaultColWidth="9.140625" defaultRowHeight="15" x14ac:dyDescent="0.25"/>
  <cols>
    <col min="1" max="1" width="40.7109375" style="41" customWidth="1"/>
    <col min="2" max="2" width="2.7109375" style="41" customWidth="1"/>
    <col min="3" max="4" width="11.7109375" style="41" customWidth="1"/>
    <col min="5" max="5" width="2.7109375" style="41" customWidth="1"/>
    <col min="6" max="10" width="11.7109375" style="41" customWidth="1"/>
    <col min="11" max="11" width="2.7109375" style="41" customWidth="1"/>
    <col min="12" max="15" width="11.7109375" style="41" customWidth="1"/>
    <col min="16" max="16" width="2.7109375" style="41" customWidth="1"/>
    <col min="17" max="16384" width="9.140625" style="41"/>
  </cols>
  <sheetData>
    <row r="1" spans="1:18" s="1" customFormat="1" ht="21" x14ac:dyDescent="0.25">
      <c r="A1" s="63" t="s">
        <v>124</v>
      </c>
      <c r="B1" s="64"/>
      <c r="C1" s="66" t="s">
        <v>166</v>
      </c>
      <c r="D1" s="65"/>
      <c r="E1" s="65"/>
      <c r="F1" s="65"/>
      <c r="G1" s="66" t="s">
        <v>231</v>
      </c>
      <c r="H1" s="5"/>
      <c r="I1" s="203">
        <v>12</v>
      </c>
      <c r="J1" s="5"/>
      <c r="K1" s="5"/>
      <c r="L1" s="5"/>
      <c r="M1" s="5"/>
      <c r="N1" s="5"/>
      <c r="O1" s="5"/>
      <c r="P1" s="5"/>
      <c r="Q1" s="5"/>
    </row>
    <row r="2" spans="1:18" s="92" customFormat="1" ht="15.75" x14ac:dyDescent="0.3">
      <c r="A2" s="64"/>
      <c r="B2" s="64"/>
      <c r="C2" s="64"/>
      <c r="D2" s="65"/>
      <c r="E2" s="65"/>
      <c r="F2" s="65"/>
      <c r="G2" s="64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8" s="1" customFormat="1" ht="21" x14ac:dyDescent="0.25">
      <c r="A3" s="66" t="s">
        <v>236</v>
      </c>
      <c r="B3" s="65"/>
      <c r="C3" s="65"/>
      <c r="D3" s="65"/>
      <c r="E3" s="65"/>
      <c r="F3" s="65"/>
      <c r="G3" s="64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s="1" customFormat="1" ht="21" x14ac:dyDescent="0.25">
      <c r="A4" s="21"/>
      <c r="B4" s="21"/>
      <c r="C4" s="313">
        <v>2019</v>
      </c>
      <c r="D4" s="313"/>
      <c r="E4" s="22"/>
      <c r="F4" s="21"/>
      <c r="G4" s="313">
        <v>2018</v>
      </c>
      <c r="H4" s="314"/>
      <c r="I4" s="314"/>
      <c r="J4" s="314"/>
      <c r="K4" s="21"/>
      <c r="L4" s="313">
        <v>2017</v>
      </c>
      <c r="M4" s="313"/>
      <c r="N4" s="313"/>
      <c r="O4" s="313"/>
      <c r="P4" s="22"/>
      <c r="Q4" s="23" t="s">
        <v>98</v>
      </c>
    </row>
    <row r="5" spans="1:18" x14ac:dyDescent="0.25">
      <c r="A5" s="31"/>
      <c r="B5" s="31"/>
      <c r="C5" s="315" t="s">
        <v>163</v>
      </c>
      <c r="D5" s="317" t="s">
        <v>44</v>
      </c>
      <c r="E5" s="31"/>
      <c r="F5" s="315" t="s">
        <v>162</v>
      </c>
      <c r="G5" s="321" t="s">
        <v>161</v>
      </c>
      <c r="H5" s="321"/>
      <c r="I5" s="32" t="s">
        <v>117</v>
      </c>
      <c r="J5" s="32" t="s">
        <v>97</v>
      </c>
      <c r="K5" s="31"/>
      <c r="L5" s="321" t="s">
        <v>161</v>
      </c>
      <c r="M5" s="330"/>
      <c r="N5" s="32" t="s">
        <v>117</v>
      </c>
      <c r="O5" s="32" t="s">
        <v>97</v>
      </c>
      <c r="P5" s="32"/>
      <c r="Q5" s="33"/>
    </row>
    <row r="6" spans="1:18" x14ac:dyDescent="0.25">
      <c r="A6" s="31"/>
      <c r="B6" s="31"/>
      <c r="C6" s="332"/>
      <c r="D6" s="318"/>
      <c r="E6" s="31"/>
      <c r="F6" s="319"/>
      <c r="G6" s="34" t="s">
        <v>159</v>
      </c>
      <c r="H6" s="321" t="s">
        <v>160</v>
      </c>
      <c r="I6" s="310"/>
      <c r="J6" s="310"/>
      <c r="K6" s="31"/>
      <c r="L6" s="34" t="s">
        <v>159</v>
      </c>
      <c r="M6" s="321" t="s">
        <v>160</v>
      </c>
      <c r="N6" s="310"/>
      <c r="O6" s="310"/>
      <c r="P6" s="32"/>
      <c r="Q6" s="33"/>
    </row>
    <row r="7" spans="1:18" x14ac:dyDescent="0.25">
      <c r="A7" s="88" t="s">
        <v>20</v>
      </c>
      <c r="B7" s="88"/>
      <c r="C7" s="89"/>
      <c r="D7" s="90"/>
      <c r="E7" s="91"/>
      <c r="F7" s="89"/>
      <c r="G7" s="90"/>
      <c r="H7" s="91"/>
      <c r="I7" s="91"/>
      <c r="J7" s="91"/>
      <c r="K7" s="91"/>
      <c r="L7" s="90"/>
      <c r="M7" s="91"/>
      <c r="N7" s="91"/>
      <c r="O7" s="91"/>
      <c r="P7" s="5"/>
      <c r="Q7" s="5"/>
    </row>
    <row r="8" spans="1:18" x14ac:dyDescent="0.25">
      <c r="A8" s="93" t="s">
        <v>21</v>
      </c>
      <c r="B8" s="93"/>
      <c r="C8" s="94">
        <f>D8-G8</f>
        <v>-86</v>
      </c>
      <c r="D8" s="95">
        <v>914</v>
      </c>
      <c r="E8" s="91"/>
      <c r="F8" s="89">
        <f>G8-L8</f>
        <v>175</v>
      </c>
      <c r="G8" s="45">
        <v>1000</v>
      </c>
      <c r="H8" s="96">
        <f>G8/12*10</f>
        <v>833.33333333333326</v>
      </c>
      <c r="I8" s="96">
        <v>576</v>
      </c>
      <c r="J8" s="96">
        <f>H8-I8</f>
        <v>257.33333333333326</v>
      </c>
      <c r="K8" s="91"/>
      <c r="L8" s="45">
        <v>825</v>
      </c>
      <c r="M8" s="96">
        <f>L8/12*10</f>
        <v>687.5</v>
      </c>
      <c r="N8" s="46">
        <v>646.87</v>
      </c>
      <c r="O8" s="91">
        <f>M8-N8</f>
        <v>40.629999999999995</v>
      </c>
      <c r="P8" s="15"/>
      <c r="Q8" s="85"/>
    </row>
    <row r="9" spans="1:18" x14ac:dyDescent="0.25">
      <c r="A9" s="93" t="s">
        <v>14</v>
      </c>
      <c r="B9" s="93" t="s">
        <v>165</v>
      </c>
      <c r="C9" s="94">
        <f>D9-G9</f>
        <v>1.4399999999999977</v>
      </c>
      <c r="D9" s="95">
        <f>G9+(G9*$C$37)</f>
        <v>61.44</v>
      </c>
      <c r="E9" s="91"/>
      <c r="F9" s="89">
        <f t="shared" ref="F9:F10" si="0">G9-L9</f>
        <v>0</v>
      </c>
      <c r="G9" s="45">
        <v>60</v>
      </c>
      <c r="H9" s="96">
        <f>G9/12*10</f>
        <v>50</v>
      </c>
      <c r="I9" s="96">
        <v>50</v>
      </c>
      <c r="J9" s="96">
        <f>H9-I9</f>
        <v>0</v>
      </c>
      <c r="K9" s="91"/>
      <c r="L9" s="45">
        <v>60</v>
      </c>
      <c r="M9" s="96">
        <f>L9/12*10</f>
        <v>50</v>
      </c>
      <c r="N9" s="46">
        <v>50</v>
      </c>
      <c r="O9" s="91">
        <f>M9-N9</f>
        <v>0</v>
      </c>
      <c r="P9" s="15"/>
      <c r="Q9" s="85"/>
      <c r="R9" s="27"/>
    </row>
    <row r="10" spans="1:18" x14ac:dyDescent="0.25">
      <c r="A10" s="93" t="s">
        <v>15</v>
      </c>
      <c r="B10" s="93" t="s">
        <v>165</v>
      </c>
      <c r="C10" s="94">
        <f>D10-G10</f>
        <v>24</v>
      </c>
      <c r="D10" s="95">
        <f>G10+(G10*$C$37)</f>
        <v>1024</v>
      </c>
      <c r="E10" s="91"/>
      <c r="F10" s="89">
        <f t="shared" si="0"/>
        <v>0</v>
      </c>
      <c r="G10" s="45">
        <v>1000</v>
      </c>
      <c r="H10" s="96">
        <f>G10/12*10</f>
        <v>833.33333333333326</v>
      </c>
      <c r="I10" s="96">
        <v>2562</v>
      </c>
      <c r="J10" s="96">
        <f>H10-I10</f>
        <v>-1728.6666666666667</v>
      </c>
      <c r="K10" s="91"/>
      <c r="L10" s="45">
        <v>1000</v>
      </c>
      <c r="M10" s="96">
        <f>L10/12*10</f>
        <v>833.33333333333326</v>
      </c>
      <c r="N10" s="46">
        <v>763.34</v>
      </c>
      <c r="O10" s="91">
        <f>M10-N10</f>
        <v>69.993333333333226</v>
      </c>
      <c r="P10" s="15"/>
      <c r="Q10" s="97"/>
    </row>
    <row r="11" spans="1:18" x14ac:dyDescent="0.25">
      <c r="A11" s="93" t="s">
        <v>153</v>
      </c>
      <c r="B11" s="93"/>
      <c r="C11" s="94">
        <f>D11-G11</f>
        <v>168</v>
      </c>
      <c r="D11" s="95">
        <f>140*1.2</f>
        <v>168</v>
      </c>
      <c r="E11" s="91"/>
      <c r="F11" s="89">
        <f t="shared" ref="F11" si="1">G11-L11</f>
        <v>0</v>
      </c>
      <c r="G11" s="45">
        <v>0</v>
      </c>
      <c r="H11" s="96">
        <f>G11/12*10</f>
        <v>0</v>
      </c>
      <c r="I11" s="96">
        <v>0</v>
      </c>
      <c r="J11" s="96">
        <f>H11-I11</f>
        <v>0</v>
      </c>
      <c r="K11" s="91"/>
      <c r="L11" s="45">
        <v>0</v>
      </c>
      <c r="M11" s="96">
        <f>L11/12*10</f>
        <v>0</v>
      </c>
      <c r="N11" s="46">
        <v>0</v>
      </c>
      <c r="O11" s="91">
        <f>M11-N11</f>
        <v>0</v>
      </c>
      <c r="P11" s="15"/>
      <c r="Q11" s="97"/>
      <c r="R11" s="27"/>
    </row>
    <row r="12" spans="1:18" x14ac:dyDescent="0.25">
      <c r="A12" s="93"/>
      <c r="B12" s="93"/>
      <c r="C12" s="94"/>
      <c r="D12" s="95"/>
      <c r="E12" s="91"/>
      <c r="F12" s="89"/>
      <c r="G12" s="95"/>
      <c r="H12" s="96"/>
      <c r="I12" s="96"/>
      <c r="J12" s="96"/>
      <c r="K12" s="91"/>
      <c r="L12" s="90"/>
      <c r="M12" s="91"/>
      <c r="N12" s="91"/>
      <c r="O12" s="91"/>
      <c r="P12" s="15"/>
      <c r="Q12" s="85"/>
    </row>
    <row r="13" spans="1:18" s="142" customFormat="1" ht="15.75" thickBot="1" x14ac:dyDescent="0.3">
      <c r="A13" s="148" t="s">
        <v>169</v>
      </c>
      <c r="B13" s="88"/>
      <c r="C13" s="98">
        <f>SUM(C7:C12)</f>
        <v>107.44</v>
      </c>
      <c r="D13" s="99">
        <f>SUM(D7:D12)</f>
        <v>2167.44</v>
      </c>
      <c r="E13" s="100"/>
      <c r="F13" s="98">
        <f t="shared" ref="F13:J13" si="2">SUM(F7:F12)</f>
        <v>175</v>
      </c>
      <c r="G13" s="99">
        <f t="shared" si="2"/>
        <v>2060</v>
      </c>
      <c r="H13" s="101">
        <f t="shared" si="2"/>
        <v>1716.6666666666665</v>
      </c>
      <c r="I13" s="101">
        <f t="shared" si="2"/>
        <v>3188</v>
      </c>
      <c r="J13" s="101">
        <f t="shared" si="2"/>
        <v>-1471.3333333333335</v>
      </c>
      <c r="K13" s="100"/>
      <c r="L13" s="102">
        <f t="shared" ref="L13:O13" si="3">SUM(L7:L12)</f>
        <v>1885</v>
      </c>
      <c r="M13" s="101">
        <f t="shared" si="3"/>
        <v>1570.8333333333333</v>
      </c>
      <c r="N13" s="101">
        <f t="shared" si="3"/>
        <v>1460.21</v>
      </c>
      <c r="O13" s="101">
        <f t="shared" si="3"/>
        <v>110.62333333333322</v>
      </c>
      <c r="P13" s="17"/>
      <c r="Q13" s="103"/>
    </row>
    <row r="14" spans="1:18" x14ac:dyDescent="0.25">
      <c r="C14" s="42"/>
      <c r="D14" s="43"/>
      <c r="F14" s="42"/>
      <c r="G14" s="43"/>
      <c r="L14" s="43"/>
      <c r="Q14" s="85"/>
    </row>
    <row r="15" spans="1:18" x14ac:dyDescent="0.25">
      <c r="A15" s="59" t="s">
        <v>23</v>
      </c>
      <c r="C15" s="42"/>
      <c r="D15" s="43"/>
      <c r="F15" s="42"/>
      <c r="G15" s="43"/>
      <c r="L15" s="43"/>
      <c r="Q15" s="85"/>
    </row>
    <row r="16" spans="1:18" x14ac:dyDescent="0.25">
      <c r="A16" s="60" t="s">
        <v>11</v>
      </c>
      <c r="B16" s="93" t="s">
        <v>165</v>
      </c>
      <c r="C16" s="94">
        <f t="shared" ref="C16:C33" si="4">D16-G16</f>
        <v>4.8000000000000114</v>
      </c>
      <c r="D16" s="95">
        <f>G16+(G16*$C$37)</f>
        <v>204.8</v>
      </c>
      <c r="F16" s="89">
        <f t="shared" ref="F16:F25" si="5">G16-L16</f>
        <v>-400</v>
      </c>
      <c r="G16" s="45">
        <v>200</v>
      </c>
      <c r="H16" s="96">
        <f t="shared" ref="H16:H25" si="6">G16/12*10</f>
        <v>166.66666666666669</v>
      </c>
      <c r="I16" s="127">
        <v>2883.38</v>
      </c>
      <c r="J16" s="96">
        <f t="shared" ref="J16:J25" si="7">H16-I16</f>
        <v>-2716.7133333333336</v>
      </c>
      <c r="L16" s="45">
        <v>600</v>
      </c>
      <c r="M16" s="96">
        <f t="shared" ref="M16:M25" si="8">L16/12*10</f>
        <v>500</v>
      </c>
      <c r="N16" s="46">
        <v>154</v>
      </c>
      <c r="O16" s="91">
        <f t="shared" ref="O16:O29" si="9">M16-N16</f>
        <v>346</v>
      </c>
      <c r="Q16" s="85"/>
    </row>
    <row r="17" spans="1:18" x14ac:dyDescent="0.25">
      <c r="A17" s="60" t="s">
        <v>16</v>
      </c>
      <c r="B17" s="93" t="s">
        <v>165</v>
      </c>
      <c r="C17" s="94">
        <f t="shared" si="4"/>
        <v>1.2000000000000028</v>
      </c>
      <c r="D17" s="95">
        <f>G17+(G17*$C$37)</f>
        <v>51.2</v>
      </c>
      <c r="F17" s="89">
        <f t="shared" si="5"/>
        <v>0</v>
      </c>
      <c r="G17" s="45">
        <v>50</v>
      </c>
      <c r="H17" s="96">
        <f t="shared" si="6"/>
        <v>41.666666666666671</v>
      </c>
      <c r="I17" s="127">
        <v>0</v>
      </c>
      <c r="J17" s="96">
        <f t="shared" si="7"/>
        <v>41.666666666666671</v>
      </c>
      <c r="L17" s="45">
        <v>50</v>
      </c>
      <c r="M17" s="96">
        <f t="shared" si="8"/>
        <v>41.666666666666671</v>
      </c>
      <c r="N17" s="46">
        <v>0</v>
      </c>
      <c r="O17" s="91">
        <f t="shared" si="9"/>
        <v>41.666666666666671</v>
      </c>
    </row>
    <row r="18" spans="1:18" x14ac:dyDescent="0.25">
      <c r="A18" s="60" t="s">
        <v>24</v>
      </c>
      <c r="B18" s="93" t="s">
        <v>165</v>
      </c>
      <c r="C18" s="94">
        <f t="shared" si="4"/>
        <v>1.2000000000000028</v>
      </c>
      <c r="D18" s="95">
        <f>G18+(G18*$C$37)</f>
        <v>51.2</v>
      </c>
      <c r="F18" s="89">
        <f t="shared" si="5"/>
        <v>0</v>
      </c>
      <c r="G18" s="45">
        <v>50</v>
      </c>
      <c r="H18" s="96">
        <f t="shared" si="6"/>
        <v>41.666666666666671</v>
      </c>
      <c r="I18" s="127">
        <v>30</v>
      </c>
      <c r="J18" s="96">
        <f t="shared" si="7"/>
        <v>11.666666666666671</v>
      </c>
      <c r="L18" s="45">
        <v>50</v>
      </c>
      <c r="M18" s="96">
        <f t="shared" si="8"/>
        <v>41.666666666666671</v>
      </c>
      <c r="N18" s="46">
        <v>20</v>
      </c>
      <c r="O18" s="91">
        <f t="shared" si="9"/>
        <v>21.666666666666671</v>
      </c>
    </row>
    <row r="19" spans="1:18" x14ac:dyDescent="0.25">
      <c r="A19" s="60" t="s">
        <v>155</v>
      </c>
      <c r="B19" s="93"/>
      <c r="C19" s="94">
        <f t="shared" si="4"/>
        <v>120</v>
      </c>
      <c r="D19" s="95">
        <v>320</v>
      </c>
      <c r="F19" s="89">
        <f t="shared" si="5"/>
        <v>80</v>
      </c>
      <c r="G19" s="45">
        <v>200</v>
      </c>
      <c r="H19" s="96">
        <f t="shared" si="6"/>
        <v>166.66666666666669</v>
      </c>
      <c r="I19" s="127">
        <v>24</v>
      </c>
      <c r="J19" s="96">
        <f t="shared" si="7"/>
        <v>142.66666666666669</v>
      </c>
      <c r="L19" s="45">
        <v>120</v>
      </c>
      <c r="M19" s="96">
        <f t="shared" si="8"/>
        <v>100</v>
      </c>
      <c r="N19" s="46">
        <v>48</v>
      </c>
      <c r="O19" s="91">
        <f t="shared" si="9"/>
        <v>52</v>
      </c>
      <c r="Q19" s="85" t="s">
        <v>266</v>
      </c>
    </row>
    <row r="20" spans="1:18" x14ac:dyDescent="0.25">
      <c r="A20" s="60" t="s">
        <v>12</v>
      </c>
      <c r="C20" s="94">
        <f t="shared" si="4"/>
        <v>1.2000000000000028</v>
      </c>
      <c r="D20" s="95">
        <f>G20+(G20*$C$37)</f>
        <v>51.2</v>
      </c>
      <c r="F20" s="89">
        <f t="shared" si="5"/>
        <v>-3</v>
      </c>
      <c r="G20" s="45">
        <v>50</v>
      </c>
      <c r="H20" s="96">
        <f t="shared" si="6"/>
        <v>41.666666666666671</v>
      </c>
      <c r="I20" s="127">
        <v>90</v>
      </c>
      <c r="J20" s="96">
        <f t="shared" si="7"/>
        <v>-48.333333333333329</v>
      </c>
      <c r="L20" s="45">
        <v>53</v>
      </c>
      <c r="M20" s="96">
        <f t="shared" si="8"/>
        <v>44.166666666666671</v>
      </c>
      <c r="N20" s="46">
        <v>90</v>
      </c>
      <c r="O20" s="91">
        <f t="shared" si="9"/>
        <v>-45.833333333333329</v>
      </c>
      <c r="Q20" s="85"/>
    </row>
    <row r="21" spans="1:18" x14ac:dyDescent="0.25">
      <c r="A21" s="60" t="s">
        <v>17</v>
      </c>
      <c r="C21" s="94">
        <f t="shared" si="4"/>
        <v>-120</v>
      </c>
      <c r="D21" s="45">
        <v>0</v>
      </c>
      <c r="F21" s="89">
        <f t="shared" si="5"/>
        <v>30</v>
      </c>
      <c r="G21" s="45">
        <v>120</v>
      </c>
      <c r="H21" s="96">
        <f t="shared" si="6"/>
        <v>100</v>
      </c>
      <c r="I21" s="127">
        <v>0</v>
      </c>
      <c r="J21" s="96">
        <f t="shared" si="7"/>
        <v>100</v>
      </c>
      <c r="L21" s="45">
        <v>90</v>
      </c>
      <c r="M21" s="96">
        <f t="shared" si="8"/>
        <v>75</v>
      </c>
      <c r="N21" s="46">
        <v>50</v>
      </c>
      <c r="O21" s="91">
        <f t="shared" si="9"/>
        <v>25</v>
      </c>
      <c r="Q21" s="85" t="s">
        <v>271</v>
      </c>
    </row>
    <row r="22" spans="1:18" x14ac:dyDescent="0.25">
      <c r="A22" s="60" t="s">
        <v>122</v>
      </c>
      <c r="C22" s="94">
        <f t="shared" si="4"/>
        <v>-1000</v>
      </c>
      <c r="D22" s="45">
        <v>0</v>
      </c>
      <c r="F22" s="89">
        <f t="shared" si="5"/>
        <v>1000</v>
      </c>
      <c r="G22" s="45">
        <v>1000</v>
      </c>
      <c r="H22" s="96">
        <f t="shared" si="6"/>
        <v>833.33333333333326</v>
      </c>
      <c r="I22" s="127">
        <v>513.6</v>
      </c>
      <c r="J22" s="96">
        <f t="shared" si="7"/>
        <v>319.73333333333323</v>
      </c>
      <c r="L22" s="45">
        <v>0</v>
      </c>
      <c r="M22" s="96">
        <f t="shared" si="8"/>
        <v>0</v>
      </c>
      <c r="N22" s="46">
        <v>3923.52</v>
      </c>
      <c r="O22" s="91">
        <f t="shared" si="9"/>
        <v>-3923.52</v>
      </c>
      <c r="Q22" s="85"/>
      <c r="R22" s="58"/>
    </row>
    <row r="23" spans="1:18" x14ac:dyDescent="0.25">
      <c r="A23" s="60" t="s">
        <v>127</v>
      </c>
      <c r="C23" s="94">
        <f t="shared" si="4"/>
        <v>-1394.6</v>
      </c>
      <c r="D23" s="45">
        <v>0</v>
      </c>
      <c r="F23" s="89">
        <f t="shared" si="5"/>
        <v>1394.6</v>
      </c>
      <c r="G23" s="45">
        <v>1394.6</v>
      </c>
      <c r="H23" s="96">
        <f t="shared" si="6"/>
        <v>1162.1666666666665</v>
      </c>
      <c r="I23" s="127">
        <v>1841.8</v>
      </c>
      <c r="J23" s="96">
        <f t="shared" si="7"/>
        <v>-679.63333333333344</v>
      </c>
      <c r="L23" s="45">
        <v>0</v>
      </c>
      <c r="M23" s="96">
        <f t="shared" si="8"/>
        <v>0</v>
      </c>
      <c r="N23" s="46">
        <v>260</v>
      </c>
      <c r="O23" s="91">
        <f t="shared" si="9"/>
        <v>-260</v>
      </c>
      <c r="Q23" s="280" t="s">
        <v>265</v>
      </c>
      <c r="R23" s="58"/>
    </row>
    <row r="24" spans="1:18" x14ac:dyDescent="0.25">
      <c r="A24" s="60" t="s">
        <v>129</v>
      </c>
      <c r="C24" s="94">
        <f t="shared" si="4"/>
        <v>0</v>
      </c>
      <c r="D24" s="45">
        <v>0</v>
      </c>
      <c r="F24" s="89">
        <f t="shared" si="5"/>
        <v>0</v>
      </c>
      <c r="G24" s="45">
        <v>0</v>
      </c>
      <c r="H24" s="96">
        <f t="shared" si="6"/>
        <v>0</v>
      </c>
      <c r="I24" s="127">
        <v>8191.2</v>
      </c>
      <c r="J24" s="96">
        <f t="shared" si="7"/>
        <v>-8191.2</v>
      </c>
      <c r="L24" s="45">
        <v>0</v>
      </c>
      <c r="M24" s="96">
        <f t="shared" si="8"/>
        <v>0</v>
      </c>
      <c r="N24" s="46">
        <v>0</v>
      </c>
      <c r="O24" s="91">
        <f t="shared" si="9"/>
        <v>0</v>
      </c>
      <c r="Q24" s="85" t="s">
        <v>267</v>
      </c>
    </row>
    <row r="25" spans="1:18" x14ac:dyDescent="0.25">
      <c r="A25" s="60" t="s">
        <v>156</v>
      </c>
      <c r="C25" s="94">
        <f t="shared" si="4"/>
        <v>321.90476190476193</v>
      </c>
      <c r="D25" s="45">
        <f>Reserves!W11</f>
        <v>321.90476190476193</v>
      </c>
      <c r="F25" s="89">
        <f t="shared" si="5"/>
        <v>0</v>
      </c>
      <c r="G25" s="45">
        <v>0</v>
      </c>
      <c r="H25" s="96">
        <f t="shared" si="6"/>
        <v>0</v>
      </c>
      <c r="I25" s="127">
        <v>0</v>
      </c>
      <c r="J25" s="96">
        <f t="shared" si="7"/>
        <v>0</v>
      </c>
      <c r="L25" s="45">
        <v>0</v>
      </c>
      <c r="M25" s="96">
        <f t="shared" si="8"/>
        <v>0</v>
      </c>
      <c r="N25" s="46">
        <v>0</v>
      </c>
      <c r="O25" s="91">
        <f t="shared" si="9"/>
        <v>0</v>
      </c>
      <c r="Q25" s="85"/>
      <c r="R25" s="58"/>
    </row>
    <row r="26" spans="1:18" x14ac:dyDescent="0.25">
      <c r="A26" s="60"/>
      <c r="C26" s="94"/>
      <c r="D26" s="45"/>
      <c r="F26" s="89"/>
      <c r="G26" s="45"/>
      <c r="H26" s="96"/>
      <c r="L26" s="45"/>
      <c r="M26" s="96"/>
      <c r="N26" s="46"/>
      <c r="O26" s="91"/>
      <c r="Q26" s="85"/>
    </row>
    <row r="27" spans="1:18" s="142" customFormat="1" ht="15.75" thickBot="1" x14ac:dyDescent="0.3">
      <c r="A27" s="148" t="s">
        <v>170</v>
      </c>
      <c r="C27" s="104">
        <f>SUM(C15:C26)</f>
        <v>-2064.2952380952379</v>
      </c>
      <c r="D27" s="105">
        <f>SUM(D15:D26)</f>
        <v>1000.304761904762</v>
      </c>
      <c r="F27" s="104">
        <f>SUM(F15:F26)</f>
        <v>2101.6</v>
      </c>
      <c r="G27" s="105">
        <f>SUM(G15:G26)</f>
        <v>3064.6</v>
      </c>
      <c r="H27" s="106">
        <f>SUM(H15:H26)</f>
        <v>2553.833333333333</v>
      </c>
      <c r="I27" s="106">
        <f>SUM(I15:I26)</f>
        <v>13573.98</v>
      </c>
      <c r="J27" s="106">
        <f>SUM(J15:J26)</f>
        <v>-11020.146666666667</v>
      </c>
      <c r="L27" s="105">
        <f>SUM(L15:L26)</f>
        <v>963</v>
      </c>
      <c r="M27" s="106">
        <f>SUM(M15:M26)</f>
        <v>802.49999999999989</v>
      </c>
      <c r="N27" s="106">
        <f>SUM(N15:N26)</f>
        <v>4545.5200000000004</v>
      </c>
      <c r="O27" s="106">
        <f>SUM(O15:O26)</f>
        <v>-3743.02</v>
      </c>
      <c r="Q27" s="103"/>
    </row>
    <row r="28" spans="1:18" x14ac:dyDescent="0.25">
      <c r="A28" s="44"/>
      <c r="C28" s="107"/>
      <c r="D28" s="50"/>
      <c r="F28" s="107"/>
      <c r="G28" s="50"/>
      <c r="H28" s="51"/>
      <c r="I28" s="51"/>
      <c r="J28" s="51"/>
      <c r="L28" s="50"/>
      <c r="M28" s="51"/>
      <c r="N28" s="51"/>
      <c r="O28" s="51"/>
      <c r="Q28" s="85"/>
    </row>
    <row r="29" spans="1:18" x14ac:dyDescent="0.25">
      <c r="A29" s="60" t="s">
        <v>91</v>
      </c>
      <c r="C29" s="94">
        <f t="shared" si="4"/>
        <v>0</v>
      </c>
      <c r="D29" s="45">
        <v>670</v>
      </c>
      <c r="F29" s="89">
        <f t="shared" ref="F29" si="10">G29-L29</f>
        <v>0</v>
      </c>
      <c r="G29" s="45">
        <v>670</v>
      </c>
      <c r="H29" s="96">
        <f>G29/12*10</f>
        <v>558.33333333333337</v>
      </c>
      <c r="I29" s="41">
        <v>0</v>
      </c>
      <c r="L29" s="45">
        <v>670</v>
      </c>
      <c r="M29" s="46">
        <f t="shared" ref="M29" si="11">SUM(L29/12*10)</f>
        <v>558.33333333333337</v>
      </c>
      <c r="N29" s="46">
        <v>0</v>
      </c>
      <c r="O29" s="91">
        <f t="shared" si="9"/>
        <v>558.33333333333337</v>
      </c>
      <c r="Q29" s="85"/>
    </row>
    <row r="30" spans="1:18" x14ac:dyDescent="0.25">
      <c r="A30" s="60"/>
      <c r="C30" s="94"/>
      <c r="D30" s="45"/>
      <c r="F30" s="89"/>
      <c r="G30" s="45"/>
      <c r="H30" s="96"/>
      <c r="L30" s="45"/>
      <c r="M30" s="46"/>
      <c r="N30" s="46"/>
      <c r="O30" s="91"/>
      <c r="Q30" s="85"/>
    </row>
    <row r="31" spans="1:18" s="142" customFormat="1" ht="15.75" thickBot="1" x14ac:dyDescent="0.3">
      <c r="A31" s="148" t="s">
        <v>168</v>
      </c>
      <c r="C31" s="104">
        <f>C13+C27+C29</f>
        <v>-1956.8552380952378</v>
      </c>
      <c r="D31" s="105">
        <f>D13+D27+D29</f>
        <v>3837.7447619047621</v>
      </c>
      <c r="F31" s="104">
        <f>F13+F27+F29</f>
        <v>2276.6</v>
      </c>
      <c r="G31" s="105">
        <f>G13+G27+G29</f>
        <v>5794.6</v>
      </c>
      <c r="H31" s="106">
        <f>H13+H27+H29</f>
        <v>4828.833333333333</v>
      </c>
      <c r="I31" s="106">
        <f>I13+I27+I29</f>
        <v>16761.98</v>
      </c>
      <c r="J31" s="106">
        <f>J13+J27+J29</f>
        <v>-12491.480000000001</v>
      </c>
      <c r="L31" s="105">
        <f>L13+L27+L29</f>
        <v>3518</v>
      </c>
      <c r="M31" s="106">
        <f>M13+M27+M29</f>
        <v>2931.6666666666665</v>
      </c>
      <c r="N31" s="106">
        <f>N13+N27+N29</f>
        <v>6005.7300000000005</v>
      </c>
      <c r="O31" s="106">
        <f>O13+O27+O29</f>
        <v>-3074.063333333333</v>
      </c>
      <c r="Q31" s="103"/>
    </row>
    <row r="32" spans="1:18" x14ac:dyDescent="0.25">
      <c r="A32" s="44"/>
      <c r="C32" s="94"/>
      <c r="D32" s="50"/>
      <c r="F32" s="42"/>
      <c r="G32" s="50"/>
      <c r="L32" s="50"/>
      <c r="M32" s="51"/>
      <c r="N32" s="51"/>
      <c r="Q32" s="85"/>
    </row>
    <row r="33" spans="1:18" x14ac:dyDescent="0.25">
      <c r="A33" s="44" t="s">
        <v>99</v>
      </c>
      <c r="C33" s="94">
        <f t="shared" si="4"/>
        <v>0</v>
      </c>
      <c r="D33" s="50">
        <f>Reserves!F11</f>
        <v>4500</v>
      </c>
      <c r="F33" s="89">
        <f t="shared" ref="F33" si="12">G33-L33</f>
        <v>0</v>
      </c>
      <c r="G33" s="50">
        <v>4500</v>
      </c>
      <c r="H33" s="96">
        <f>G33/12*10</f>
        <v>3750</v>
      </c>
      <c r="I33" s="41">
        <v>0</v>
      </c>
      <c r="L33" s="45">
        <v>4500</v>
      </c>
      <c r="M33" s="46">
        <f t="shared" ref="M33" si="13">SUM(L33/12*10)</f>
        <v>3750</v>
      </c>
      <c r="N33" s="46">
        <v>3375</v>
      </c>
      <c r="O33" s="91">
        <f t="shared" ref="O33" si="14">M33-N33</f>
        <v>375</v>
      </c>
      <c r="Q33" s="86"/>
    </row>
    <row r="34" spans="1:18" x14ac:dyDescent="0.25">
      <c r="A34" s="44"/>
      <c r="C34" s="94"/>
      <c r="D34" s="50"/>
      <c r="F34" s="89"/>
      <c r="G34" s="50"/>
      <c r="H34" s="96"/>
      <c r="L34" s="45"/>
      <c r="M34" s="46"/>
      <c r="N34" s="46"/>
      <c r="O34" s="91"/>
      <c r="Q34" s="86"/>
    </row>
    <row r="35" spans="1:18" s="142" customFormat="1" ht="15.75" thickBot="1" x14ac:dyDescent="0.3">
      <c r="A35" s="148" t="s">
        <v>1</v>
      </c>
      <c r="C35" s="108">
        <f t="shared" ref="C35:D35" si="15">SUM(C31:C34)</f>
        <v>-1956.8552380952378</v>
      </c>
      <c r="D35" s="109">
        <f t="shared" si="15"/>
        <v>8337.7447619047616</v>
      </c>
      <c r="F35" s="108">
        <f t="shared" ref="F35:J35" si="16">SUM(F31:F34)</f>
        <v>2276.6</v>
      </c>
      <c r="G35" s="109">
        <f t="shared" si="16"/>
        <v>10294.6</v>
      </c>
      <c r="H35" s="62">
        <f t="shared" si="16"/>
        <v>8578.8333333333321</v>
      </c>
      <c r="I35" s="62">
        <f t="shared" si="16"/>
        <v>16761.98</v>
      </c>
      <c r="J35" s="62">
        <f t="shared" si="16"/>
        <v>-12491.480000000001</v>
      </c>
      <c r="L35" s="109">
        <f>SUM(L31:L34)</f>
        <v>8018</v>
      </c>
      <c r="M35" s="62">
        <f t="shared" ref="M35:O35" si="17">SUM(M31:M34)</f>
        <v>6681.6666666666661</v>
      </c>
      <c r="N35" s="62">
        <f t="shared" si="17"/>
        <v>9380.73</v>
      </c>
      <c r="O35" s="62">
        <f t="shared" si="17"/>
        <v>-2699.063333333333</v>
      </c>
      <c r="Q35" s="169">
        <f>SUM(C35:P35)</f>
        <v>53182.75619047619</v>
      </c>
      <c r="R35" s="170" t="s">
        <v>173</v>
      </c>
    </row>
    <row r="36" spans="1:18" x14ac:dyDescent="0.25">
      <c r="L36" s="43"/>
    </row>
    <row r="37" spans="1:18" x14ac:dyDescent="0.25">
      <c r="A37" s="5" t="s">
        <v>164</v>
      </c>
      <c r="B37" s="5"/>
      <c r="C37" s="110">
        <f>Summary!$C$26</f>
        <v>2.4E-2</v>
      </c>
    </row>
  </sheetData>
  <sheetProtection algorithmName="SHA-512" hashValue="2STiQZYpuiktJwerjQ2X0U11TCa5pxOtlLkHddUwfeqpu6kP88eVqfzKMSM16vmOccTrVrjVP5IwqhwwBytrNA==" saltValue="9uGqS22+0HOmQ2PYvhoSmA==" spinCount="100000" sheet="1" objects="1" scenarios="1"/>
  <mergeCells count="10">
    <mergeCell ref="C4:D4"/>
    <mergeCell ref="G4:J4"/>
    <mergeCell ref="L4:O4"/>
    <mergeCell ref="C5:C6"/>
    <mergeCell ref="D5:D6"/>
    <mergeCell ref="F5:F6"/>
    <mergeCell ref="G5:H5"/>
    <mergeCell ref="L5:M5"/>
    <mergeCell ref="H6:J6"/>
    <mergeCell ref="M6:O6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88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34"/>
  <sheetViews>
    <sheetView showGridLines="0" zoomScale="80" zoomScaleNormal="80" workbookViewId="0"/>
  </sheetViews>
  <sheetFormatPr defaultRowHeight="15" x14ac:dyDescent="0.25"/>
  <cols>
    <col min="1" max="1" width="40.7109375" style="41" customWidth="1"/>
    <col min="2" max="2" width="2.7109375" style="41" customWidth="1"/>
    <col min="3" max="4" width="11.7109375" style="41" customWidth="1"/>
    <col min="5" max="5" width="2.7109375" style="41" customWidth="1"/>
    <col min="6" max="10" width="11.7109375" style="41" customWidth="1"/>
    <col min="11" max="11" width="2.7109375" style="41" customWidth="1"/>
    <col min="12" max="15" width="11.7109375" style="41" customWidth="1"/>
    <col min="16" max="16" width="2.7109375" style="41" customWidth="1"/>
    <col min="17" max="16384" width="9.140625" style="41"/>
  </cols>
  <sheetData>
    <row r="1" spans="1:18" customFormat="1" ht="21" x14ac:dyDescent="0.2">
      <c r="A1" s="63" t="s">
        <v>124</v>
      </c>
      <c r="B1" s="64"/>
      <c r="C1" s="66" t="s">
        <v>166</v>
      </c>
      <c r="D1" s="65"/>
      <c r="E1" s="65"/>
      <c r="F1" s="65"/>
      <c r="G1" s="66" t="s">
        <v>231</v>
      </c>
      <c r="H1" s="5"/>
      <c r="I1" s="203">
        <v>12</v>
      </c>
      <c r="J1" s="5"/>
      <c r="K1" s="5"/>
      <c r="L1" s="5"/>
      <c r="M1" s="5"/>
      <c r="N1" s="5"/>
      <c r="O1" s="5"/>
      <c r="P1" s="5"/>
      <c r="Q1" s="5"/>
    </row>
    <row r="2" spans="1:18" s="2" customFormat="1" x14ac:dyDescent="0.2">
      <c r="A2" s="64"/>
      <c r="B2" s="64"/>
      <c r="C2" s="64"/>
      <c r="D2" s="65"/>
      <c r="E2" s="65"/>
      <c r="F2" s="65"/>
      <c r="G2" s="64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8" customFormat="1" ht="21" x14ac:dyDescent="0.2">
      <c r="A3" s="66" t="s">
        <v>237</v>
      </c>
      <c r="B3" s="65"/>
      <c r="C3" s="65"/>
      <c r="D3" s="65"/>
      <c r="E3" s="65"/>
      <c r="F3" s="65"/>
      <c r="G3" s="64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customFormat="1" ht="21" x14ac:dyDescent="0.2">
      <c r="A4" s="21"/>
      <c r="B4" s="21"/>
      <c r="C4" s="313">
        <v>2019</v>
      </c>
      <c r="D4" s="313"/>
      <c r="E4" s="22"/>
      <c r="F4" s="21"/>
      <c r="G4" s="313">
        <v>2018</v>
      </c>
      <c r="H4" s="314"/>
      <c r="I4" s="314"/>
      <c r="J4" s="314"/>
      <c r="K4" s="21"/>
      <c r="L4" s="313">
        <v>2017</v>
      </c>
      <c r="M4" s="313"/>
      <c r="N4" s="313"/>
      <c r="O4" s="313"/>
      <c r="P4" s="22"/>
      <c r="Q4" s="23" t="s">
        <v>98</v>
      </c>
    </row>
    <row r="5" spans="1:18" x14ac:dyDescent="0.25">
      <c r="A5" s="31"/>
      <c r="B5" s="31"/>
      <c r="C5" s="315" t="s">
        <v>163</v>
      </c>
      <c r="D5" s="317" t="s">
        <v>44</v>
      </c>
      <c r="E5" s="31"/>
      <c r="F5" s="315" t="s">
        <v>162</v>
      </c>
      <c r="G5" s="321" t="s">
        <v>161</v>
      </c>
      <c r="H5" s="321"/>
      <c r="I5" s="32" t="s">
        <v>117</v>
      </c>
      <c r="J5" s="32" t="s">
        <v>97</v>
      </c>
      <c r="K5" s="31"/>
      <c r="L5" s="321" t="s">
        <v>161</v>
      </c>
      <c r="M5" s="330"/>
      <c r="N5" s="32" t="s">
        <v>117</v>
      </c>
      <c r="O5" s="32" t="s">
        <v>97</v>
      </c>
      <c r="P5" s="32"/>
      <c r="Q5" s="33"/>
    </row>
    <row r="6" spans="1:18" x14ac:dyDescent="0.25">
      <c r="A6" s="31"/>
      <c r="B6" s="31"/>
      <c r="C6" s="332"/>
      <c r="D6" s="318"/>
      <c r="E6" s="31"/>
      <c r="F6" s="319"/>
      <c r="G6" s="34" t="s">
        <v>159</v>
      </c>
      <c r="H6" s="321" t="s">
        <v>160</v>
      </c>
      <c r="I6" s="310"/>
      <c r="J6" s="310"/>
      <c r="K6" s="31"/>
      <c r="L6" s="34" t="s">
        <v>159</v>
      </c>
      <c r="M6" s="321" t="s">
        <v>160</v>
      </c>
      <c r="N6" s="310"/>
      <c r="O6" s="310"/>
      <c r="P6" s="32"/>
      <c r="Q6" s="33"/>
    </row>
    <row r="7" spans="1:18" x14ac:dyDescent="0.25">
      <c r="A7" s="88" t="s">
        <v>20</v>
      </c>
      <c r="B7" s="88"/>
      <c r="C7" s="89"/>
      <c r="D7" s="90"/>
      <c r="E7" s="91"/>
      <c r="F7" s="89"/>
      <c r="G7" s="90"/>
      <c r="H7" s="91"/>
      <c r="I7" s="91"/>
      <c r="J7" s="91"/>
      <c r="K7" s="91"/>
      <c r="L7" s="90"/>
      <c r="M7" s="91"/>
      <c r="N7" s="91"/>
      <c r="O7" s="91"/>
      <c r="P7" s="5"/>
      <c r="Q7" s="5"/>
    </row>
    <row r="8" spans="1:18" x14ac:dyDescent="0.25">
      <c r="A8" s="93" t="s">
        <v>21</v>
      </c>
      <c r="B8" s="93"/>
      <c r="C8" s="94">
        <f>D8-G8</f>
        <v>-172</v>
      </c>
      <c r="D8" s="95">
        <v>728</v>
      </c>
      <c r="E8" s="91"/>
      <c r="F8" s="89">
        <f>G8-L8</f>
        <v>215</v>
      </c>
      <c r="G8" s="95">
        <v>900</v>
      </c>
      <c r="H8" s="96">
        <f>G8/12*10</f>
        <v>750</v>
      </c>
      <c r="I8" s="96">
        <v>496</v>
      </c>
      <c r="J8" s="96">
        <f>H8-I8</f>
        <v>254</v>
      </c>
      <c r="K8" s="91"/>
      <c r="L8" s="126">
        <v>685</v>
      </c>
      <c r="M8" s="96">
        <f>L8/12*10</f>
        <v>570.83333333333337</v>
      </c>
      <c r="N8" s="127">
        <v>555.28</v>
      </c>
      <c r="O8" s="91">
        <f>M8-N8</f>
        <v>15.553333333333399</v>
      </c>
      <c r="P8" s="15"/>
      <c r="Q8" s="85"/>
    </row>
    <row r="9" spans="1:18" x14ac:dyDescent="0.25">
      <c r="A9" s="93" t="s">
        <v>14</v>
      </c>
      <c r="B9" s="93" t="s">
        <v>165</v>
      </c>
      <c r="C9" s="94">
        <f>D9-G9</f>
        <v>2.8799999999999955</v>
      </c>
      <c r="D9" s="95">
        <f>G9+(G9*$C$34)</f>
        <v>122.88</v>
      </c>
      <c r="E9" s="91"/>
      <c r="F9" s="89">
        <f t="shared" ref="F9:F11" si="0">G9-L9</f>
        <v>0</v>
      </c>
      <c r="G9" s="95">
        <v>120</v>
      </c>
      <c r="H9" s="96">
        <f>G9/12*10</f>
        <v>100</v>
      </c>
      <c r="I9" s="96">
        <v>100</v>
      </c>
      <c r="J9" s="96">
        <f>H9-I9</f>
        <v>0</v>
      </c>
      <c r="K9" s="91"/>
      <c r="L9" s="126">
        <v>120</v>
      </c>
      <c r="M9" s="96">
        <f>L9/12*10</f>
        <v>100</v>
      </c>
      <c r="N9" s="127">
        <v>100</v>
      </c>
      <c r="O9" s="91">
        <f>M9-N9</f>
        <v>0</v>
      </c>
      <c r="P9" s="15"/>
      <c r="Q9" s="85"/>
      <c r="R9" s="27"/>
    </row>
    <row r="10" spans="1:18" x14ac:dyDescent="0.25">
      <c r="A10" s="93" t="s">
        <v>15</v>
      </c>
      <c r="B10" s="93" t="s">
        <v>165</v>
      </c>
      <c r="C10" s="94">
        <f>D10-G10</f>
        <v>12</v>
      </c>
      <c r="D10" s="95">
        <f>G10+(G10*$C$34)</f>
        <v>512</v>
      </c>
      <c r="E10" s="91"/>
      <c r="F10" s="89">
        <f t="shared" si="0"/>
        <v>100</v>
      </c>
      <c r="G10" s="95">
        <v>500</v>
      </c>
      <c r="H10" s="96">
        <f>G10/12*10</f>
        <v>416.66666666666663</v>
      </c>
      <c r="I10" s="96">
        <v>973.62</v>
      </c>
      <c r="J10" s="96">
        <f>H10-I10</f>
        <v>-556.95333333333338</v>
      </c>
      <c r="K10" s="91"/>
      <c r="L10" s="126">
        <v>400</v>
      </c>
      <c r="M10" s="96">
        <f>L10/12*10</f>
        <v>333.33333333333337</v>
      </c>
      <c r="N10" s="127">
        <v>267.77</v>
      </c>
      <c r="O10" s="91">
        <f>M10-N10</f>
        <v>65.563333333333389</v>
      </c>
      <c r="P10" s="15"/>
      <c r="Q10" s="46"/>
    </row>
    <row r="11" spans="1:18" x14ac:dyDescent="0.25">
      <c r="A11" s="93" t="s">
        <v>153</v>
      </c>
      <c r="B11" s="93"/>
      <c r="C11" s="94">
        <f>D11-G11</f>
        <v>546</v>
      </c>
      <c r="D11" s="95">
        <f>455*1.2</f>
        <v>546</v>
      </c>
      <c r="E11" s="91"/>
      <c r="F11" s="89">
        <f t="shared" si="0"/>
        <v>0</v>
      </c>
      <c r="G11" s="95">
        <v>0</v>
      </c>
      <c r="H11" s="96">
        <f>G11/12*10</f>
        <v>0</v>
      </c>
      <c r="I11" s="96">
        <v>0</v>
      </c>
      <c r="J11" s="96">
        <f>H11-I11</f>
        <v>0</v>
      </c>
      <c r="K11" s="91"/>
      <c r="L11" s="90"/>
      <c r="M11" s="91"/>
      <c r="N11" s="91"/>
      <c r="O11" s="91"/>
      <c r="P11" s="15"/>
      <c r="Q11" s="46"/>
    </row>
    <row r="12" spans="1:18" x14ac:dyDescent="0.25">
      <c r="A12" s="93"/>
      <c r="B12" s="93"/>
      <c r="C12" s="94"/>
      <c r="D12" s="95"/>
      <c r="E12" s="91"/>
      <c r="F12" s="89"/>
      <c r="G12" s="95"/>
      <c r="H12" s="96"/>
      <c r="I12" s="96"/>
      <c r="J12" s="96"/>
      <c r="K12" s="91"/>
      <c r="L12" s="90"/>
      <c r="M12" s="91"/>
      <c r="N12" s="91"/>
      <c r="O12" s="91"/>
      <c r="P12" s="15"/>
      <c r="Q12" s="46"/>
    </row>
    <row r="13" spans="1:18" s="142" customFormat="1" ht="15.75" thickBot="1" x14ac:dyDescent="0.3">
      <c r="A13" s="148" t="s">
        <v>169</v>
      </c>
      <c r="B13" s="88"/>
      <c r="C13" s="98">
        <f>SUM(C7:C12)</f>
        <v>388.88</v>
      </c>
      <c r="D13" s="99">
        <f>SUM(D7:D12)</f>
        <v>1908.88</v>
      </c>
      <c r="E13" s="100"/>
      <c r="F13" s="98">
        <f t="shared" ref="F13:J13" si="1">SUM(F7:F12)</f>
        <v>315</v>
      </c>
      <c r="G13" s="99">
        <f t="shared" si="1"/>
        <v>1520</v>
      </c>
      <c r="H13" s="101">
        <f t="shared" si="1"/>
        <v>1266.6666666666665</v>
      </c>
      <c r="I13" s="101">
        <f t="shared" si="1"/>
        <v>1569.62</v>
      </c>
      <c r="J13" s="101">
        <f t="shared" si="1"/>
        <v>-302.95333333333338</v>
      </c>
      <c r="K13" s="100"/>
      <c r="L13" s="102">
        <f t="shared" ref="L13:O13" si="2">SUM(L7:L12)</f>
        <v>1205</v>
      </c>
      <c r="M13" s="101">
        <f t="shared" si="2"/>
        <v>1004.1666666666667</v>
      </c>
      <c r="N13" s="101">
        <f t="shared" si="2"/>
        <v>923.05</v>
      </c>
      <c r="O13" s="101">
        <f t="shared" si="2"/>
        <v>81.116666666666788</v>
      </c>
      <c r="P13" s="17"/>
      <c r="Q13" s="54"/>
    </row>
    <row r="14" spans="1:18" x14ac:dyDescent="0.25">
      <c r="C14" s="125"/>
      <c r="D14" s="126"/>
      <c r="E14" s="127"/>
      <c r="F14" s="125"/>
      <c r="G14" s="126"/>
      <c r="H14" s="127"/>
      <c r="I14" s="127"/>
      <c r="J14" s="127"/>
      <c r="K14" s="127"/>
      <c r="L14" s="126"/>
      <c r="M14" s="127"/>
      <c r="N14" s="127"/>
      <c r="O14" s="127"/>
      <c r="Q14" s="46"/>
    </row>
    <row r="15" spans="1:18" x14ac:dyDescent="0.25">
      <c r="A15" s="59" t="s">
        <v>23</v>
      </c>
      <c r="C15" s="125"/>
      <c r="D15" s="126"/>
      <c r="E15" s="127"/>
      <c r="F15" s="125"/>
      <c r="G15" s="126"/>
      <c r="H15" s="127"/>
      <c r="I15" s="127"/>
      <c r="J15" s="127"/>
      <c r="K15" s="127"/>
      <c r="L15" s="126"/>
      <c r="M15" s="127"/>
      <c r="N15" s="127"/>
      <c r="O15" s="127"/>
      <c r="Q15" s="46"/>
    </row>
    <row r="16" spans="1:18" x14ac:dyDescent="0.25">
      <c r="A16" s="60" t="s">
        <v>22</v>
      </c>
      <c r="B16" s="93" t="s">
        <v>165</v>
      </c>
      <c r="C16" s="94">
        <f t="shared" ref="C16:C22" si="3">D16-G16</f>
        <v>12</v>
      </c>
      <c r="D16" s="95">
        <f t="shared" ref="D16:D19" si="4">G16+(G16*$C$34)</f>
        <v>512</v>
      </c>
      <c r="E16" s="127"/>
      <c r="F16" s="89">
        <f t="shared" ref="F16:F22" si="5">G16-L16</f>
        <v>0</v>
      </c>
      <c r="G16" s="126">
        <v>500</v>
      </c>
      <c r="H16" s="96">
        <f t="shared" ref="H16:H22" si="6">G16/12*10</f>
        <v>416.66666666666663</v>
      </c>
      <c r="I16" s="127">
        <v>0</v>
      </c>
      <c r="J16" s="96">
        <f t="shared" ref="J16:J22" si="7">H16-I16</f>
        <v>416.66666666666663</v>
      </c>
      <c r="K16" s="127"/>
      <c r="L16" s="126">
        <v>500</v>
      </c>
      <c r="M16" s="96">
        <f t="shared" ref="M16:M22" si="8">L16/12*10</f>
        <v>416.66666666666663</v>
      </c>
      <c r="N16" s="127">
        <v>462.5</v>
      </c>
      <c r="O16" s="91">
        <f t="shared" ref="O16:O22" si="9">M16-N16</f>
        <v>-45.833333333333371</v>
      </c>
      <c r="Q16" s="158"/>
    </row>
    <row r="17" spans="1:18" x14ac:dyDescent="0.25">
      <c r="A17" s="60" t="s">
        <v>16</v>
      </c>
      <c r="B17" s="93" t="s">
        <v>165</v>
      </c>
      <c r="C17" s="94">
        <f t="shared" si="3"/>
        <v>1.2000000000000028</v>
      </c>
      <c r="D17" s="95">
        <f t="shared" si="4"/>
        <v>51.2</v>
      </c>
      <c r="E17" s="127"/>
      <c r="F17" s="89">
        <f t="shared" si="5"/>
        <v>0</v>
      </c>
      <c r="G17" s="126">
        <v>50</v>
      </c>
      <c r="H17" s="96">
        <f t="shared" si="6"/>
        <v>41.666666666666671</v>
      </c>
      <c r="I17" s="127">
        <v>0</v>
      </c>
      <c r="J17" s="96">
        <f t="shared" si="7"/>
        <v>41.666666666666671</v>
      </c>
      <c r="K17" s="127"/>
      <c r="L17" s="126">
        <v>50</v>
      </c>
      <c r="M17" s="96">
        <f t="shared" si="8"/>
        <v>41.666666666666671</v>
      </c>
      <c r="N17" s="127">
        <v>5</v>
      </c>
      <c r="O17" s="91">
        <f t="shared" si="9"/>
        <v>36.666666666666671</v>
      </c>
      <c r="Q17" s="46"/>
    </row>
    <row r="18" spans="1:18" x14ac:dyDescent="0.25">
      <c r="A18" s="60" t="s">
        <v>12</v>
      </c>
      <c r="B18" s="93" t="s">
        <v>165</v>
      </c>
      <c r="C18" s="94">
        <f t="shared" si="3"/>
        <v>2.4000000000000057</v>
      </c>
      <c r="D18" s="95">
        <f t="shared" si="4"/>
        <v>102.4</v>
      </c>
      <c r="E18" s="127"/>
      <c r="F18" s="89">
        <f t="shared" si="5"/>
        <v>47</v>
      </c>
      <c r="G18" s="126">
        <v>100</v>
      </c>
      <c r="H18" s="96">
        <f t="shared" si="6"/>
        <v>83.333333333333343</v>
      </c>
      <c r="I18" s="127">
        <v>90</v>
      </c>
      <c r="J18" s="96">
        <f t="shared" si="7"/>
        <v>-6.6666666666666572</v>
      </c>
      <c r="K18" s="127"/>
      <c r="L18" s="126">
        <v>53</v>
      </c>
      <c r="M18" s="96">
        <f t="shared" si="8"/>
        <v>44.166666666666671</v>
      </c>
      <c r="N18" s="127">
        <v>90</v>
      </c>
      <c r="O18" s="91">
        <f t="shared" si="9"/>
        <v>-45.833333333333329</v>
      </c>
      <c r="Q18" s="46"/>
    </row>
    <row r="19" spans="1:18" x14ac:dyDescent="0.25">
      <c r="A19" s="60" t="s">
        <v>41</v>
      </c>
      <c r="B19" s="93" t="s">
        <v>165</v>
      </c>
      <c r="C19" s="94">
        <f t="shared" si="3"/>
        <v>1.2000000000000028</v>
      </c>
      <c r="D19" s="95">
        <f t="shared" si="4"/>
        <v>51.2</v>
      </c>
      <c r="E19" s="127"/>
      <c r="F19" s="89">
        <f t="shared" si="5"/>
        <v>0</v>
      </c>
      <c r="G19" s="126">
        <v>50</v>
      </c>
      <c r="H19" s="96">
        <f t="shared" si="6"/>
        <v>41.666666666666671</v>
      </c>
      <c r="I19" s="127">
        <v>30</v>
      </c>
      <c r="J19" s="96">
        <f t="shared" si="7"/>
        <v>11.666666666666671</v>
      </c>
      <c r="K19" s="127"/>
      <c r="L19" s="126">
        <v>50</v>
      </c>
      <c r="M19" s="96">
        <f t="shared" si="8"/>
        <v>41.666666666666671</v>
      </c>
      <c r="N19" s="127">
        <v>135</v>
      </c>
      <c r="O19" s="91">
        <f t="shared" si="9"/>
        <v>-93.333333333333329</v>
      </c>
      <c r="Q19" s="201" t="s">
        <v>208</v>
      </c>
    </row>
    <row r="20" spans="1:18" x14ac:dyDescent="0.25">
      <c r="A20" s="60" t="s">
        <v>123</v>
      </c>
      <c r="C20" s="94">
        <f t="shared" si="3"/>
        <v>-1000</v>
      </c>
      <c r="D20" s="126">
        <v>0</v>
      </c>
      <c r="E20" s="127"/>
      <c r="F20" s="89">
        <f t="shared" si="5"/>
        <v>1000</v>
      </c>
      <c r="G20" s="126">
        <v>1000</v>
      </c>
      <c r="H20" s="96">
        <f t="shared" si="6"/>
        <v>833.33333333333326</v>
      </c>
      <c r="I20" s="127">
        <v>0</v>
      </c>
      <c r="J20" s="96">
        <f t="shared" si="7"/>
        <v>833.33333333333326</v>
      </c>
      <c r="K20" s="127"/>
      <c r="L20" s="126">
        <v>0</v>
      </c>
      <c r="M20" s="96">
        <f t="shared" si="8"/>
        <v>0</v>
      </c>
      <c r="N20" s="127">
        <v>3555.8</v>
      </c>
      <c r="O20" s="91">
        <f t="shared" si="9"/>
        <v>-3555.8</v>
      </c>
      <c r="Q20" s="58"/>
    </row>
    <row r="21" spans="1:18" x14ac:dyDescent="0.25">
      <c r="A21" s="60" t="s">
        <v>127</v>
      </c>
      <c r="C21" s="94">
        <f t="shared" si="3"/>
        <v>-954.2</v>
      </c>
      <c r="D21" s="126">
        <v>0</v>
      </c>
      <c r="E21" s="127"/>
      <c r="F21" s="89">
        <f t="shared" si="5"/>
        <v>954.2</v>
      </c>
      <c r="G21" s="126">
        <v>954.2</v>
      </c>
      <c r="H21" s="96">
        <f t="shared" si="6"/>
        <v>795.16666666666663</v>
      </c>
      <c r="I21" s="127">
        <v>1114.4000000000001</v>
      </c>
      <c r="J21" s="96">
        <f t="shared" si="7"/>
        <v>-319.23333333333346</v>
      </c>
      <c r="K21" s="127"/>
      <c r="L21" s="126">
        <v>0</v>
      </c>
      <c r="M21" s="96">
        <f t="shared" si="8"/>
        <v>0</v>
      </c>
      <c r="N21" s="127">
        <v>0</v>
      </c>
      <c r="O21" s="91">
        <f t="shared" si="9"/>
        <v>0</v>
      </c>
      <c r="Q21" s="280" t="s">
        <v>265</v>
      </c>
    </row>
    <row r="22" spans="1:18" x14ac:dyDescent="0.25">
      <c r="A22" s="60" t="s">
        <v>154</v>
      </c>
      <c r="C22" s="94">
        <f t="shared" si="3"/>
        <v>171.6825396825397</v>
      </c>
      <c r="D22" s="126">
        <f>Reserves!W12</f>
        <v>171.6825396825397</v>
      </c>
      <c r="E22" s="127"/>
      <c r="F22" s="89">
        <f t="shared" si="5"/>
        <v>0</v>
      </c>
      <c r="G22" s="126">
        <v>0</v>
      </c>
      <c r="H22" s="96">
        <f t="shared" si="6"/>
        <v>0</v>
      </c>
      <c r="I22" s="127">
        <v>0</v>
      </c>
      <c r="J22" s="96">
        <f t="shared" si="7"/>
        <v>0</v>
      </c>
      <c r="K22" s="127"/>
      <c r="L22" s="126">
        <v>0</v>
      </c>
      <c r="M22" s="96">
        <f t="shared" si="8"/>
        <v>0</v>
      </c>
      <c r="N22" s="127">
        <v>0</v>
      </c>
      <c r="O22" s="91">
        <f t="shared" si="9"/>
        <v>0</v>
      </c>
      <c r="Q22" s="46"/>
    </row>
    <row r="23" spans="1:18" x14ac:dyDescent="0.25">
      <c r="A23" s="60"/>
      <c r="C23" s="125"/>
      <c r="D23" s="126"/>
      <c r="E23" s="127"/>
      <c r="F23" s="125"/>
      <c r="G23" s="126"/>
      <c r="H23" s="127"/>
      <c r="I23" s="127"/>
      <c r="J23" s="127"/>
      <c r="K23" s="127"/>
      <c r="L23" s="126"/>
      <c r="M23" s="96"/>
      <c r="N23" s="127"/>
      <c r="O23" s="91"/>
      <c r="Q23" s="46"/>
    </row>
    <row r="24" spans="1:18" s="142" customFormat="1" ht="15.75" thickBot="1" x14ac:dyDescent="0.3">
      <c r="A24" s="148" t="s">
        <v>170</v>
      </c>
      <c r="C24" s="149">
        <f t="shared" ref="C24:D24" si="10">SUM(C15:C23)</f>
        <v>-1765.7174603174603</v>
      </c>
      <c r="D24" s="150">
        <f t="shared" si="10"/>
        <v>888.48253968253971</v>
      </c>
      <c r="E24" s="151"/>
      <c r="F24" s="149">
        <f t="shared" ref="F24:J24" si="11">SUM(F15:F23)</f>
        <v>2001.2</v>
      </c>
      <c r="G24" s="150">
        <f t="shared" si="11"/>
        <v>2654.2</v>
      </c>
      <c r="H24" s="148">
        <f t="shared" si="11"/>
        <v>2211.833333333333</v>
      </c>
      <c r="I24" s="148">
        <f t="shared" si="11"/>
        <v>1234.4000000000001</v>
      </c>
      <c r="J24" s="148">
        <f t="shared" si="11"/>
        <v>977.43333333333305</v>
      </c>
      <c r="K24" s="151"/>
      <c r="L24" s="150">
        <f>SUM(L15:L23)</f>
        <v>653</v>
      </c>
      <c r="M24" s="148">
        <f t="shared" ref="M24:O24" si="12">SUM(M15:M23)</f>
        <v>544.16666666666663</v>
      </c>
      <c r="N24" s="148">
        <f t="shared" si="12"/>
        <v>4248.3</v>
      </c>
      <c r="O24" s="148">
        <f t="shared" si="12"/>
        <v>-3704.1333333333337</v>
      </c>
      <c r="Q24" s="54"/>
    </row>
    <row r="25" spans="1:18" x14ac:dyDescent="0.25">
      <c r="A25" s="44"/>
      <c r="C25" s="125"/>
      <c r="D25" s="126"/>
      <c r="E25" s="127"/>
      <c r="F25" s="125"/>
      <c r="G25" s="126"/>
      <c r="H25" s="127"/>
      <c r="I25" s="127"/>
      <c r="J25" s="127"/>
      <c r="K25" s="127"/>
      <c r="L25" s="134"/>
      <c r="M25" s="135"/>
      <c r="N25" s="135"/>
      <c r="O25" s="127"/>
      <c r="Q25" s="46"/>
    </row>
    <row r="26" spans="1:18" x14ac:dyDescent="0.25">
      <c r="A26" s="60" t="s">
        <v>90</v>
      </c>
      <c r="C26" s="94">
        <f>D26-G26</f>
        <v>0</v>
      </c>
      <c r="D26" s="126">
        <v>670</v>
      </c>
      <c r="E26" s="127"/>
      <c r="F26" s="89">
        <f t="shared" ref="F26" si="13">G26-L26</f>
        <v>0</v>
      </c>
      <c r="G26" s="126">
        <v>670</v>
      </c>
      <c r="H26" s="96">
        <f>G26/12*10</f>
        <v>558.33333333333337</v>
      </c>
      <c r="I26" s="127">
        <v>0</v>
      </c>
      <c r="J26" s="96">
        <f>H26-I26</f>
        <v>558.33333333333337</v>
      </c>
      <c r="K26" s="127"/>
      <c r="L26" s="126">
        <v>670</v>
      </c>
      <c r="M26" s="96">
        <f>L26/12*10</f>
        <v>558.33333333333337</v>
      </c>
      <c r="N26" s="127">
        <v>0</v>
      </c>
      <c r="O26" s="91">
        <f>M26-N26</f>
        <v>558.33333333333337</v>
      </c>
      <c r="Q26" s="46"/>
    </row>
    <row r="27" spans="1:18" x14ac:dyDescent="0.25">
      <c r="A27" s="60"/>
      <c r="C27" s="125"/>
      <c r="D27" s="126"/>
      <c r="E27" s="127"/>
      <c r="F27" s="125"/>
      <c r="G27" s="126"/>
      <c r="H27" s="127"/>
      <c r="I27" s="127"/>
      <c r="J27" s="127"/>
      <c r="K27" s="127"/>
      <c r="L27" s="126"/>
      <c r="M27" s="96"/>
      <c r="N27" s="127"/>
      <c r="O27" s="91"/>
      <c r="Q27" s="46"/>
    </row>
    <row r="28" spans="1:18" s="142" customFormat="1" ht="15.75" thickBot="1" x14ac:dyDescent="0.3">
      <c r="A28" s="148" t="s">
        <v>168</v>
      </c>
      <c r="C28" s="149">
        <f t="shared" ref="C28:D28" si="14">C13+C24+C26</f>
        <v>-1376.8374603174602</v>
      </c>
      <c r="D28" s="150">
        <f t="shared" si="14"/>
        <v>3467.36253968254</v>
      </c>
      <c r="E28" s="151"/>
      <c r="F28" s="149">
        <f t="shared" ref="F28:J28" si="15">F13+F24+F26</f>
        <v>2316.1999999999998</v>
      </c>
      <c r="G28" s="150">
        <f t="shared" si="15"/>
        <v>4844.2</v>
      </c>
      <c r="H28" s="148">
        <f t="shared" si="15"/>
        <v>4036.833333333333</v>
      </c>
      <c r="I28" s="148">
        <f t="shared" si="15"/>
        <v>2804.02</v>
      </c>
      <c r="J28" s="148">
        <f t="shared" si="15"/>
        <v>1232.813333333333</v>
      </c>
      <c r="K28" s="151"/>
      <c r="L28" s="150">
        <f>L13+L24+L26</f>
        <v>2528</v>
      </c>
      <c r="M28" s="148">
        <f t="shared" ref="M28:O28" si="16">M13+M24+M26</f>
        <v>2106.666666666667</v>
      </c>
      <c r="N28" s="148">
        <f t="shared" si="16"/>
        <v>5171.3500000000004</v>
      </c>
      <c r="O28" s="148">
        <f t="shared" si="16"/>
        <v>-3064.6833333333334</v>
      </c>
      <c r="Q28" s="143"/>
    </row>
    <row r="29" spans="1:18" x14ac:dyDescent="0.25">
      <c r="C29" s="125"/>
      <c r="D29" s="126"/>
      <c r="E29" s="127"/>
      <c r="F29" s="125"/>
      <c r="G29" s="126"/>
      <c r="H29" s="127"/>
      <c r="I29" s="127"/>
      <c r="J29" s="127"/>
      <c r="K29" s="127"/>
      <c r="L29" s="134"/>
      <c r="M29" s="135"/>
      <c r="N29" s="135"/>
      <c r="O29" s="127"/>
    </row>
    <row r="30" spans="1:18" x14ac:dyDescent="0.25">
      <c r="A30" s="44" t="s">
        <v>101</v>
      </c>
      <c r="C30" s="94">
        <f>D30-G30</f>
        <v>-640</v>
      </c>
      <c r="D30" s="126">
        <f>Reserves!F12</f>
        <v>2560</v>
      </c>
      <c r="E30" s="127"/>
      <c r="F30" s="89">
        <f t="shared" ref="F30" si="17">G30-L30</f>
        <v>0</v>
      </c>
      <c r="G30" s="126">
        <v>3200</v>
      </c>
      <c r="H30" s="96">
        <f>G30/12*10</f>
        <v>2666.666666666667</v>
      </c>
      <c r="I30" s="127">
        <v>0</v>
      </c>
      <c r="J30" s="96">
        <f>H30-I30</f>
        <v>2666.666666666667</v>
      </c>
      <c r="K30" s="127"/>
      <c r="L30" s="126">
        <v>3200</v>
      </c>
      <c r="M30" s="96">
        <f>L30/12*10</f>
        <v>2666.666666666667</v>
      </c>
      <c r="N30" s="127">
        <v>2025</v>
      </c>
      <c r="O30" s="91">
        <f>M30-N30</f>
        <v>641.66666666666697</v>
      </c>
    </row>
    <row r="31" spans="1:18" s="142" customFormat="1" x14ac:dyDescent="0.25">
      <c r="A31" s="53"/>
      <c r="C31" s="199"/>
      <c r="D31" s="200"/>
      <c r="E31" s="151"/>
      <c r="F31" s="199"/>
      <c r="G31" s="200"/>
      <c r="H31" s="151"/>
      <c r="I31" s="151"/>
      <c r="J31" s="151"/>
      <c r="K31" s="151"/>
      <c r="L31" s="200"/>
      <c r="M31" s="118"/>
      <c r="N31" s="151"/>
      <c r="O31" s="100"/>
    </row>
    <row r="32" spans="1:18" s="142" customFormat="1" ht="15.75" thickBot="1" x14ac:dyDescent="0.3">
      <c r="A32" s="148" t="s">
        <v>1</v>
      </c>
      <c r="C32" s="138">
        <f t="shared" ref="C32:D32" si="18">SUM(C28:C31)</f>
        <v>-2016.8374603174602</v>
      </c>
      <c r="D32" s="139">
        <f t="shared" si="18"/>
        <v>6027.36253968254</v>
      </c>
      <c r="E32" s="151"/>
      <c r="F32" s="138">
        <f t="shared" ref="F32:J32" si="19">SUM(F28:F31)</f>
        <v>2316.1999999999998</v>
      </c>
      <c r="G32" s="139">
        <f t="shared" si="19"/>
        <v>8044.2</v>
      </c>
      <c r="H32" s="140">
        <f t="shared" si="19"/>
        <v>6703.5</v>
      </c>
      <c r="I32" s="140">
        <f t="shared" si="19"/>
        <v>2804.02</v>
      </c>
      <c r="J32" s="140">
        <f t="shared" si="19"/>
        <v>3899.48</v>
      </c>
      <c r="K32" s="151"/>
      <c r="L32" s="139">
        <f>SUM(L28:L31)</f>
        <v>5728</v>
      </c>
      <c r="M32" s="140">
        <f t="shared" ref="M32:O32" si="20">SUM(M28:M31)</f>
        <v>4773.3333333333339</v>
      </c>
      <c r="N32" s="140">
        <f t="shared" si="20"/>
        <v>7196.35</v>
      </c>
      <c r="O32" s="140">
        <f t="shared" si="20"/>
        <v>-2423.0166666666664</v>
      </c>
      <c r="Q32" s="169">
        <f>SUM(C32:P32)</f>
        <v>43052.591746031743</v>
      </c>
      <c r="R32" s="170" t="s">
        <v>173</v>
      </c>
    </row>
    <row r="34" spans="1:3" x14ac:dyDescent="0.25">
      <c r="A34" s="5" t="s">
        <v>164</v>
      </c>
      <c r="B34" s="5"/>
      <c r="C34" s="110">
        <f>Summary!$C$26</f>
        <v>2.4E-2</v>
      </c>
    </row>
  </sheetData>
  <sheetProtection algorithmName="SHA-512" hashValue="kSp4czWJT/1R4L2lBwJxRZZtLWEq/ABZPPjNZlgVeqQG7VvkV/l+0tLqRTmyBzt8OyQ7nxfOSXOwNozgKSBASw==" saltValue="Nc5jadAgdAuRJPu88nABNA==" spinCount="100000" sheet="1" objects="1" scenarios="1"/>
  <mergeCells count="10">
    <mergeCell ref="C4:D4"/>
    <mergeCell ref="G4:J4"/>
    <mergeCell ref="L4:O4"/>
    <mergeCell ref="C5:C6"/>
    <mergeCell ref="D5:D6"/>
    <mergeCell ref="F5:F6"/>
    <mergeCell ref="G5:H5"/>
    <mergeCell ref="L5:M5"/>
    <mergeCell ref="H6:J6"/>
    <mergeCell ref="M6:O6"/>
  </mergeCells>
  <pageMargins left="0.7" right="0.7" top="0.75" bottom="0.75" header="0.3" footer="0.3"/>
  <pageSetup paperSize="9" scale="84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34"/>
  <sheetViews>
    <sheetView showGridLines="0" zoomScale="80" zoomScaleNormal="80" workbookViewId="0"/>
  </sheetViews>
  <sheetFormatPr defaultColWidth="9.140625" defaultRowHeight="15" x14ac:dyDescent="0.25"/>
  <cols>
    <col min="1" max="1" width="40.7109375" style="41" customWidth="1"/>
    <col min="2" max="2" width="2.7109375" style="41" customWidth="1"/>
    <col min="3" max="4" width="11.7109375" style="41" customWidth="1"/>
    <col min="5" max="5" width="2.7109375" style="41" customWidth="1"/>
    <col min="6" max="10" width="11.7109375" style="41" customWidth="1"/>
    <col min="11" max="11" width="2.7109375" style="41" customWidth="1"/>
    <col min="12" max="15" width="11.7109375" style="41" customWidth="1"/>
    <col min="16" max="16" width="2.7109375" style="41" customWidth="1"/>
    <col min="17" max="16384" width="9.140625" style="41"/>
  </cols>
  <sheetData>
    <row r="1" spans="1:21" ht="21" x14ac:dyDescent="0.25">
      <c r="A1" s="63" t="s">
        <v>124</v>
      </c>
      <c r="B1" s="64"/>
      <c r="C1" s="66" t="s">
        <v>166</v>
      </c>
      <c r="D1" s="65"/>
      <c r="E1" s="65"/>
      <c r="F1" s="65"/>
      <c r="G1" s="66" t="s">
        <v>231</v>
      </c>
      <c r="H1" s="206"/>
      <c r="I1" s="203">
        <v>8</v>
      </c>
      <c r="J1" s="206"/>
      <c r="K1" s="206"/>
      <c r="L1" s="206"/>
      <c r="M1" s="206"/>
      <c r="N1" s="206"/>
      <c r="O1" s="206"/>
      <c r="P1" s="206"/>
      <c r="Q1" s="206"/>
    </row>
    <row r="2" spans="1:21" x14ac:dyDescent="0.25">
      <c r="A2" s="64"/>
      <c r="B2" s="64"/>
      <c r="C2" s="64"/>
      <c r="D2" s="65"/>
      <c r="E2" s="65"/>
      <c r="F2" s="65"/>
      <c r="G2" s="64"/>
      <c r="H2" s="206"/>
      <c r="I2" s="206"/>
      <c r="J2" s="206"/>
      <c r="K2" s="206"/>
      <c r="L2" s="206"/>
      <c r="M2" s="206"/>
      <c r="N2" s="206"/>
      <c r="O2" s="206"/>
      <c r="P2" s="206"/>
      <c r="Q2" s="206"/>
    </row>
    <row r="3" spans="1:21" ht="21" x14ac:dyDescent="0.25">
      <c r="A3" s="66" t="s">
        <v>59</v>
      </c>
      <c r="B3" s="65"/>
      <c r="C3" s="65"/>
      <c r="D3" s="65"/>
      <c r="E3" s="65"/>
      <c r="F3" s="65"/>
      <c r="G3" s="64"/>
      <c r="H3" s="206"/>
      <c r="I3" s="206"/>
      <c r="J3" s="206"/>
      <c r="K3" s="206"/>
      <c r="L3" s="206"/>
      <c r="M3" s="206"/>
      <c r="N3" s="206"/>
      <c r="O3" s="206"/>
      <c r="P3" s="206"/>
      <c r="Q3" s="206"/>
    </row>
    <row r="4" spans="1:21" ht="21" x14ac:dyDescent="0.25">
      <c r="A4" s="21"/>
      <c r="B4" s="21"/>
      <c r="C4" s="313">
        <v>2019</v>
      </c>
      <c r="D4" s="313"/>
      <c r="E4" s="202"/>
      <c r="F4" s="21"/>
      <c r="G4" s="313">
        <v>2018</v>
      </c>
      <c r="H4" s="314"/>
      <c r="I4" s="314"/>
      <c r="J4" s="314"/>
      <c r="K4" s="21"/>
      <c r="L4" s="313">
        <v>2017</v>
      </c>
      <c r="M4" s="313"/>
      <c r="N4" s="313"/>
      <c r="O4" s="313"/>
      <c r="P4" s="202"/>
      <c r="Q4" s="23" t="s">
        <v>98</v>
      </c>
    </row>
    <row r="5" spans="1:21" x14ac:dyDescent="0.25">
      <c r="A5" s="31"/>
      <c r="B5" s="31"/>
      <c r="C5" s="315" t="s">
        <v>163</v>
      </c>
      <c r="D5" s="317" t="s">
        <v>44</v>
      </c>
      <c r="E5" s="31"/>
      <c r="F5" s="315" t="s">
        <v>162</v>
      </c>
      <c r="G5" s="321" t="s">
        <v>161</v>
      </c>
      <c r="H5" s="321"/>
      <c r="I5" s="204" t="s">
        <v>117</v>
      </c>
      <c r="J5" s="204" t="s">
        <v>97</v>
      </c>
      <c r="K5" s="31"/>
      <c r="L5" s="321" t="s">
        <v>161</v>
      </c>
      <c r="M5" s="330"/>
      <c r="N5" s="204" t="s">
        <v>117</v>
      </c>
      <c r="O5" s="204" t="s">
        <v>97</v>
      </c>
      <c r="P5" s="204"/>
      <c r="Q5" s="33"/>
    </row>
    <row r="6" spans="1:21" x14ac:dyDescent="0.25">
      <c r="A6" s="31"/>
      <c r="B6" s="31"/>
      <c r="C6" s="332"/>
      <c r="D6" s="318"/>
      <c r="E6" s="31"/>
      <c r="F6" s="319"/>
      <c r="G6" s="34" t="s">
        <v>159</v>
      </c>
      <c r="H6" s="321" t="s">
        <v>160</v>
      </c>
      <c r="I6" s="310"/>
      <c r="J6" s="310"/>
      <c r="K6" s="31"/>
      <c r="L6" s="34" t="s">
        <v>159</v>
      </c>
      <c r="M6" s="321" t="s">
        <v>160</v>
      </c>
      <c r="N6" s="310"/>
      <c r="O6" s="310"/>
      <c r="P6" s="204"/>
      <c r="Q6" s="33"/>
    </row>
    <row r="7" spans="1:21" ht="15.75" x14ac:dyDescent="0.25">
      <c r="A7" s="67" t="s">
        <v>20</v>
      </c>
      <c r="B7" s="67"/>
      <c r="C7" s="71"/>
      <c r="D7" s="72"/>
      <c r="E7" s="73"/>
      <c r="F7" s="71"/>
      <c r="G7" s="72"/>
      <c r="H7" s="73"/>
      <c r="I7" s="73"/>
      <c r="J7" s="73"/>
      <c r="K7" s="73"/>
      <c r="L7" s="72"/>
      <c r="M7" s="73"/>
      <c r="N7" s="73"/>
      <c r="O7" s="73"/>
      <c r="P7" s="38"/>
      <c r="Q7" s="38"/>
    </row>
    <row r="8" spans="1:21" ht="15.75" x14ac:dyDescent="0.25">
      <c r="A8" s="68" t="s">
        <v>21</v>
      </c>
      <c r="B8" s="68"/>
      <c r="C8" s="69">
        <f>D8-G8</f>
        <v>13</v>
      </c>
      <c r="D8" s="45">
        <v>533</v>
      </c>
      <c r="E8" s="73"/>
      <c r="F8" s="71">
        <f>G8-L8</f>
        <v>105</v>
      </c>
      <c r="G8" s="74">
        <v>520</v>
      </c>
      <c r="H8" s="70">
        <f>G8/12*10</f>
        <v>433.33333333333337</v>
      </c>
      <c r="I8" s="70">
        <v>336</v>
      </c>
      <c r="J8" s="70">
        <f>H8-I8</f>
        <v>97.333333333333371</v>
      </c>
      <c r="K8" s="73"/>
      <c r="L8" s="46">
        <v>415</v>
      </c>
      <c r="M8" s="70">
        <f>L8/12*10</f>
        <v>345.83333333333337</v>
      </c>
      <c r="N8" s="46">
        <v>372.79</v>
      </c>
      <c r="O8" s="73">
        <f>M8-N8</f>
        <v>-26.956666666666649</v>
      </c>
      <c r="P8" s="39"/>
      <c r="Q8" s="5"/>
      <c r="R8" s="5"/>
      <c r="U8" s="27"/>
    </row>
    <row r="9" spans="1:21" ht="15.75" x14ac:dyDescent="0.25">
      <c r="A9" s="68" t="s">
        <v>14</v>
      </c>
      <c r="B9" s="68" t="s">
        <v>165</v>
      </c>
      <c r="C9" s="69">
        <f>D9-G9</f>
        <v>0</v>
      </c>
      <c r="D9" s="95">
        <f>G9+(G9*$C$34)</f>
        <v>0</v>
      </c>
      <c r="E9" s="73"/>
      <c r="F9" s="71">
        <f>G9-L9</f>
        <v>0</v>
      </c>
      <c r="G9" s="184">
        <v>0</v>
      </c>
      <c r="H9" s="185">
        <f>G9/12*10</f>
        <v>0</v>
      </c>
      <c r="I9" s="70">
        <v>0</v>
      </c>
      <c r="J9" s="70">
        <f>H9-I9</f>
        <v>0</v>
      </c>
      <c r="K9" s="73"/>
      <c r="L9" s="186">
        <v>0</v>
      </c>
      <c r="M9" s="185">
        <f>L9/12*10</f>
        <v>0</v>
      </c>
      <c r="N9" s="46">
        <v>0</v>
      </c>
      <c r="O9" s="73">
        <f>M9-N9</f>
        <v>0</v>
      </c>
      <c r="P9" s="39"/>
      <c r="Q9" s="197"/>
    </row>
    <row r="10" spans="1:21" ht="15.75" x14ac:dyDescent="0.25">
      <c r="A10" s="68" t="s">
        <v>15</v>
      </c>
      <c r="B10" s="68" t="s">
        <v>165</v>
      </c>
      <c r="C10" s="69">
        <f>D10-G10</f>
        <v>18</v>
      </c>
      <c r="D10" s="95">
        <f>G10+(G10*$C$34)</f>
        <v>768</v>
      </c>
      <c r="E10" s="73"/>
      <c r="F10" s="71">
        <f>G10-L10</f>
        <v>250</v>
      </c>
      <c r="G10" s="74">
        <v>750</v>
      </c>
      <c r="H10" s="70">
        <f>G10/12*10</f>
        <v>625</v>
      </c>
      <c r="I10" s="70">
        <v>1696.45</v>
      </c>
      <c r="J10" s="70">
        <f>H10-I10</f>
        <v>-1071.45</v>
      </c>
      <c r="K10" s="73"/>
      <c r="L10" s="46">
        <v>500</v>
      </c>
      <c r="M10" s="70">
        <f>L10/12*10</f>
        <v>416.66666666666663</v>
      </c>
      <c r="N10" s="46">
        <v>666.34</v>
      </c>
      <c r="O10" s="73">
        <f>M10-N10</f>
        <v>-249.6733333333334</v>
      </c>
      <c r="P10" s="39"/>
    </row>
    <row r="11" spans="1:21" ht="15.75" x14ac:dyDescent="0.25">
      <c r="A11" s="68" t="s">
        <v>153</v>
      </c>
      <c r="B11" s="68"/>
      <c r="C11" s="69">
        <f>D11-G11</f>
        <v>126</v>
      </c>
      <c r="D11" s="45">
        <f>105*1.2</f>
        <v>126</v>
      </c>
      <c r="E11" s="73"/>
      <c r="F11" s="71">
        <f>G11-L11</f>
        <v>0</v>
      </c>
      <c r="G11" s="74">
        <v>0</v>
      </c>
      <c r="H11" s="70">
        <f>G11/12*10</f>
        <v>0</v>
      </c>
      <c r="I11" s="70">
        <v>0</v>
      </c>
      <c r="J11" s="70">
        <f>H11-I11</f>
        <v>0</v>
      </c>
      <c r="K11" s="73"/>
      <c r="L11" s="72">
        <v>0</v>
      </c>
      <c r="M11" s="70">
        <f>L11/12*10</f>
        <v>0</v>
      </c>
      <c r="N11" s="73">
        <v>0</v>
      </c>
      <c r="O11" s="73">
        <f>M11-N11</f>
        <v>0</v>
      </c>
      <c r="P11" s="39"/>
      <c r="R11" s="27"/>
    </row>
    <row r="12" spans="1:21" ht="15.75" x14ac:dyDescent="0.25">
      <c r="A12" s="68"/>
      <c r="B12" s="68"/>
      <c r="C12" s="69"/>
      <c r="D12" s="74"/>
      <c r="E12" s="73"/>
      <c r="F12" s="71"/>
      <c r="G12" s="74"/>
      <c r="H12" s="70"/>
      <c r="I12" s="70"/>
      <c r="J12" s="70"/>
      <c r="K12" s="73"/>
      <c r="L12" s="72"/>
      <c r="M12" s="73"/>
      <c r="N12" s="73"/>
      <c r="O12" s="73"/>
      <c r="P12" s="39"/>
    </row>
    <row r="13" spans="1:21" s="142" customFormat="1" ht="16.5" thickBot="1" x14ac:dyDescent="0.3">
      <c r="A13" s="148" t="s">
        <v>169</v>
      </c>
      <c r="B13" s="67"/>
      <c r="C13" s="75">
        <f>SUM(C7:C12)</f>
        <v>157</v>
      </c>
      <c r="D13" s="76">
        <f>SUM(D7:D12)</f>
        <v>1427</v>
      </c>
      <c r="E13" s="77"/>
      <c r="F13" s="75">
        <f t="shared" ref="F13:J13" si="0">SUM(F7:F12)</f>
        <v>355</v>
      </c>
      <c r="G13" s="76">
        <f t="shared" si="0"/>
        <v>1270</v>
      </c>
      <c r="H13" s="78">
        <f t="shared" si="0"/>
        <v>1058.3333333333335</v>
      </c>
      <c r="I13" s="78">
        <f t="shared" si="0"/>
        <v>2032.45</v>
      </c>
      <c r="J13" s="78">
        <f t="shared" si="0"/>
        <v>-974.11666666666667</v>
      </c>
      <c r="K13" s="77"/>
      <c r="L13" s="84">
        <f t="shared" ref="L13:O13" si="1">SUM(L7:L12)</f>
        <v>915</v>
      </c>
      <c r="M13" s="78">
        <f t="shared" si="1"/>
        <v>762.5</v>
      </c>
      <c r="N13" s="78">
        <f t="shared" si="1"/>
        <v>1039.1300000000001</v>
      </c>
      <c r="O13" s="78">
        <f t="shared" si="1"/>
        <v>-276.63000000000005</v>
      </c>
      <c r="P13" s="40"/>
    </row>
    <row r="14" spans="1:21" ht="15.75" x14ac:dyDescent="0.25">
      <c r="A14" s="67"/>
      <c r="B14" s="67"/>
      <c r="C14" s="80"/>
      <c r="D14" s="81"/>
      <c r="E14" s="77"/>
      <c r="F14" s="80"/>
      <c r="G14" s="81"/>
      <c r="H14" s="82"/>
      <c r="I14" s="82"/>
      <c r="J14" s="82"/>
      <c r="K14" s="77"/>
      <c r="L14" s="83"/>
      <c r="M14" s="82"/>
      <c r="N14" s="82"/>
      <c r="O14" s="82"/>
      <c r="P14" s="40"/>
    </row>
    <row r="15" spans="1:21" x14ac:dyDescent="0.25">
      <c r="A15" s="59" t="s">
        <v>23</v>
      </c>
      <c r="D15" s="43"/>
      <c r="G15" s="43"/>
      <c r="L15" s="43"/>
    </row>
    <row r="16" spans="1:21" ht="15.75" x14ac:dyDescent="0.25">
      <c r="A16" s="60" t="s">
        <v>22</v>
      </c>
      <c r="B16" s="68" t="s">
        <v>165</v>
      </c>
      <c r="C16" s="69">
        <f t="shared" ref="C16:C22" si="2">D16-G16</f>
        <v>4.8000000000000114</v>
      </c>
      <c r="D16" s="95">
        <f>G16+(G16*$C$34)</f>
        <v>204.8</v>
      </c>
      <c r="F16" s="71">
        <f t="shared" ref="F16:F22" si="3">G16-L16</f>
        <v>-200</v>
      </c>
      <c r="G16" s="45">
        <v>200</v>
      </c>
      <c r="H16" s="70">
        <f t="shared" ref="H16:H22" si="4">G16/12*10</f>
        <v>166.66666666666669</v>
      </c>
      <c r="J16" s="70">
        <f t="shared" ref="J16:J22" si="5">H16-I16</f>
        <v>166.66666666666669</v>
      </c>
      <c r="L16" s="45">
        <v>400</v>
      </c>
      <c r="M16" s="70">
        <f t="shared" ref="M16:M22" si="6">L16/12*10</f>
        <v>333.33333333333337</v>
      </c>
      <c r="N16" s="46">
        <v>157.82</v>
      </c>
      <c r="Q16" s="58"/>
    </row>
    <row r="17" spans="1:18" ht="15.75" x14ac:dyDescent="0.25">
      <c r="A17" s="60" t="s">
        <v>16</v>
      </c>
      <c r="B17" s="68" t="s">
        <v>165</v>
      </c>
      <c r="C17" s="69">
        <f t="shared" si="2"/>
        <v>2.4000000000000057</v>
      </c>
      <c r="D17" s="95">
        <f>G17+(G17*$C$34)</f>
        <v>102.4</v>
      </c>
      <c r="F17" s="71">
        <f t="shared" si="3"/>
        <v>50</v>
      </c>
      <c r="G17" s="45">
        <v>100</v>
      </c>
      <c r="H17" s="70">
        <f t="shared" si="4"/>
        <v>83.333333333333343</v>
      </c>
      <c r="J17" s="70">
        <f t="shared" si="5"/>
        <v>83.333333333333343</v>
      </c>
      <c r="L17" s="45">
        <v>50</v>
      </c>
      <c r="M17" s="70">
        <f t="shared" si="6"/>
        <v>41.666666666666671</v>
      </c>
      <c r="N17" s="46">
        <v>0</v>
      </c>
    </row>
    <row r="18" spans="1:18" ht="15.75" x14ac:dyDescent="0.25">
      <c r="A18" s="60" t="s">
        <v>12</v>
      </c>
      <c r="B18" s="68" t="s">
        <v>165</v>
      </c>
      <c r="C18" s="69">
        <f t="shared" si="2"/>
        <v>2.4000000000000057</v>
      </c>
      <c r="D18" s="95">
        <f>G18+(G18*$C$34)</f>
        <v>102.4</v>
      </c>
      <c r="F18" s="71">
        <f t="shared" si="3"/>
        <v>47</v>
      </c>
      <c r="G18" s="45">
        <v>100</v>
      </c>
      <c r="H18" s="70">
        <f t="shared" si="4"/>
        <v>83.333333333333343</v>
      </c>
      <c r="J18" s="70">
        <f t="shared" si="5"/>
        <v>83.333333333333343</v>
      </c>
      <c r="L18" s="45">
        <v>53</v>
      </c>
      <c r="M18" s="70">
        <f t="shared" si="6"/>
        <v>44.166666666666671</v>
      </c>
      <c r="N18" s="46">
        <v>90</v>
      </c>
    </row>
    <row r="19" spans="1:18" ht="15.75" x14ac:dyDescent="0.25">
      <c r="A19" s="60" t="s">
        <v>41</v>
      </c>
      <c r="B19" s="68" t="s">
        <v>165</v>
      </c>
      <c r="C19" s="69">
        <f t="shared" si="2"/>
        <v>1.2000000000000028</v>
      </c>
      <c r="D19" s="95">
        <f>G19+(G19*$C$34)</f>
        <v>51.2</v>
      </c>
      <c r="F19" s="71">
        <f t="shared" si="3"/>
        <v>0</v>
      </c>
      <c r="G19" s="45">
        <v>50</v>
      </c>
      <c r="H19" s="70">
        <f t="shared" si="4"/>
        <v>41.666666666666671</v>
      </c>
      <c r="J19" s="70">
        <f t="shared" si="5"/>
        <v>41.666666666666671</v>
      </c>
      <c r="L19" s="45">
        <v>50</v>
      </c>
      <c r="M19" s="70">
        <f t="shared" si="6"/>
        <v>41.666666666666671</v>
      </c>
      <c r="N19" s="46">
        <v>90</v>
      </c>
    </row>
    <row r="20" spans="1:18" ht="15.75" x14ac:dyDescent="0.25">
      <c r="A20" s="60" t="s">
        <v>126</v>
      </c>
      <c r="C20" s="69">
        <f t="shared" si="2"/>
        <v>-660.6</v>
      </c>
      <c r="D20" s="45">
        <v>0</v>
      </c>
      <c r="F20" s="71">
        <f t="shared" si="3"/>
        <v>660.6</v>
      </c>
      <c r="G20" s="45">
        <v>660.6</v>
      </c>
      <c r="H20" s="70">
        <f t="shared" si="4"/>
        <v>550.5</v>
      </c>
      <c r="J20" s="70">
        <f t="shared" si="5"/>
        <v>550.5</v>
      </c>
      <c r="L20" s="45">
        <v>0</v>
      </c>
      <c r="M20" s="70">
        <f t="shared" si="6"/>
        <v>0</v>
      </c>
      <c r="N20" s="46">
        <v>0</v>
      </c>
      <c r="Q20" s="280" t="s">
        <v>265</v>
      </c>
    </row>
    <row r="21" spans="1:18" ht="15.75" x14ac:dyDescent="0.25">
      <c r="A21" s="60" t="s">
        <v>154</v>
      </c>
      <c r="C21" s="69">
        <f t="shared" si="2"/>
        <v>118.03174603174604</v>
      </c>
      <c r="D21" s="45">
        <f>Reserves!W13</f>
        <v>118.03174603174604</v>
      </c>
      <c r="F21" s="71">
        <f t="shared" si="3"/>
        <v>0</v>
      </c>
      <c r="G21" s="45">
        <v>0</v>
      </c>
      <c r="H21" s="70">
        <f t="shared" si="4"/>
        <v>0</v>
      </c>
      <c r="J21" s="70">
        <f t="shared" si="5"/>
        <v>0</v>
      </c>
      <c r="L21" s="45">
        <v>0</v>
      </c>
      <c r="M21" s="70">
        <f t="shared" si="6"/>
        <v>0</v>
      </c>
      <c r="N21" s="46">
        <v>0</v>
      </c>
    </row>
    <row r="22" spans="1:18" ht="15.75" x14ac:dyDescent="0.25">
      <c r="A22" s="60" t="s">
        <v>123</v>
      </c>
      <c r="C22" s="69">
        <f t="shared" si="2"/>
        <v>0</v>
      </c>
      <c r="D22" s="45">
        <v>0</v>
      </c>
      <c r="F22" s="71">
        <f t="shared" si="3"/>
        <v>0</v>
      </c>
      <c r="G22" s="45">
        <v>0</v>
      </c>
      <c r="H22" s="70">
        <f t="shared" si="4"/>
        <v>0</v>
      </c>
      <c r="J22" s="70">
        <f t="shared" si="5"/>
        <v>0</v>
      </c>
      <c r="L22" s="45">
        <v>0</v>
      </c>
      <c r="M22" s="70">
        <f t="shared" si="6"/>
        <v>0</v>
      </c>
      <c r="N22" s="46">
        <v>0</v>
      </c>
      <c r="Q22" s="58"/>
    </row>
    <row r="23" spans="1:18" x14ac:dyDescent="0.25">
      <c r="A23" s="60"/>
      <c r="C23" s="42"/>
      <c r="D23" s="45"/>
      <c r="F23" s="42"/>
      <c r="G23" s="45"/>
      <c r="L23" s="45"/>
      <c r="N23" s="46"/>
    </row>
    <row r="24" spans="1:18" s="142" customFormat="1" ht="15.75" thickBot="1" x14ac:dyDescent="0.3">
      <c r="A24" s="148" t="s">
        <v>170</v>
      </c>
      <c r="C24" s="104">
        <f t="shared" ref="C24:D24" si="7">SUM(C15:C23)</f>
        <v>-531.76825396825393</v>
      </c>
      <c r="D24" s="105">
        <f t="shared" si="7"/>
        <v>578.83174603174609</v>
      </c>
      <c r="F24" s="104">
        <f t="shared" ref="F24:J24" si="8">SUM(F15:F23)</f>
        <v>557.6</v>
      </c>
      <c r="G24" s="105">
        <f t="shared" si="8"/>
        <v>1110.5999999999999</v>
      </c>
      <c r="H24" s="106">
        <f t="shared" si="8"/>
        <v>925.5</v>
      </c>
      <c r="I24" s="106">
        <f t="shared" si="8"/>
        <v>0</v>
      </c>
      <c r="J24" s="106">
        <f t="shared" si="8"/>
        <v>925.5</v>
      </c>
      <c r="L24" s="105">
        <f>SUM(L15:L23)</f>
        <v>553</v>
      </c>
      <c r="M24" s="106">
        <f t="shared" ref="M24:N24" si="9">SUM(M15:M23)</f>
        <v>460.83333333333343</v>
      </c>
      <c r="N24" s="106">
        <f t="shared" si="9"/>
        <v>337.82</v>
      </c>
      <c r="O24" s="106">
        <f>SUM(O15:O23)</f>
        <v>0</v>
      </c>
    </row>
    <row r="25" spans="1:18" x14ac:dyDescent="0.25">
      <c r="A25" s="44"/>
      <c r="C25" s="42"/>
      <c r="D25" s="50"/>
      <c r="F25" s="42"/>
      <c r="G25" s="50"/>
      <c r="L25" s="50"/>
      <c r="N25" s="51"/>
    </row>
    <row r="26" spans="1:18" ht="15.75" x14ac:dyDescent="0.25">
      <c r="A26" s="60" t="s">
        <v>90</v>
      </c>
      <c r="C26" s="69">
        <f>D26-G26</f>
        <v>0</v>
      </c>
      <c r="D26" s="45">
        <v>450</v>
      </c>
      <c r="F26" s="71">
        <f>G26-L26</f>
        <v>0</v>
      </c>
      <c r="G26" s="45">
        <v>450</v>
      </c>
      <c r="H26" s="70">
        <f>G26/12*10</f>
        <v>375</v>
      </c>
      <c r="J26" s="70">
        <f>H26-I26</f>
        <v>375</v>
      </c>
      <c r="L26" s="45">
        <v>450</v>
      </c>
      <c r="M26" s="70">
        <f>L26/12*10</f>
        <v>375</v>
      </c>
      <c r="N26" s="46">
        <v>0</v>
      </c>
    </row>
    <row r="27" spans="1:18" x14ac:dyDescent="0.25">
      <c r="A27" s="60"/>
      <c r="C27" s="42"/>
      <c r="D27" s="45"/>
      <c r="F27" s="42"/>
      <c r="G27" s="45"/>
      <c r="L27" s="45"/>
      <c r="N27" s="46"/>
    </row>
    <row r="28" spans="1:18" s="142" customFormat="1" ht="15.75" thickBot="1" x14ac:dyDescent="0.3">
      <c r="A28" s="148" t="s">
        <v>168</v>
      </c>
      <c r="C28" s="104">
        <f t="shared" ref="C28:D28" si="10">C13+C24+C26</f>
        <v>-374.76825396825393</v>
      </c>
      <c r="D28" s="105">
        <f t="shared" si="10"/>
        <v>2455.8317460317462</v>
      </c>
      <c r="F28" s="104">
        <f t="shared" ref="F28:J28" si="11">F13+F24+F26</f>
        <v>912.6</v>
      </c>
      <c r="G28" s="105">
        <f t="shared" si="11"/>
        <v>2830.6</v>
      </c>
      <c r="H28" s="106">
        <f t="shared" si="11"/>
        <v>2358.8333333333335</v>
      </c>
      <c r="I28" s="106">
        <f t="shared" si="11"/>
        <v>2032.45</v>
      </c>
      <c r="J28" s="106">
        <f t="shared" si="11"/>
        <v>326.38333333333333</v>
      </c>
      <c r="L28" s="105">
        <f>L13+L24+L26</f>
        <v>1918</v>
      </c>
      <c r="M28" s="106">
        <f t="shared" ref="M28:O28" si="12">M13+M24+M26</f>
        <v>1598.3333333333335</v>
      </c>
      <c r="N28" s="106">
        <f t="shared" si="12"/>
        <v>1376.95</v>
      </c>
      <c r="O28" s="106">
        <f t="shared" si="12"/>
        <v>-276.63000000000005</v>
      </c>
    </row>
    <row r="29" spans="1:18" x14ac:dyDescent="0.25">
      <c r="C29" s="42"/>
      <c r="D29" s="50"/>
      <c r="F29" s="42"/>
      <c r="G29" s="155"/>
      <c r="L29" s="50"/>
      <c r="N29" s="51"/>
      <c r="Q29" s="52"/>
    </row>
    <row r="30" spans="1:18" ht="15.75" x14ac:dyDescent="0.25">
      <c r="A30" s="60" t="s">
        <v>100</v>
      </c>
      <c r="C30" s="69">
        <f>D30-G30</f>
        <v>-360</v>
      </c>
      <c r="D30" s="45">
        <f>Reserves!F13</f>
        <v>1440</v>
      </c>
      <c r="F30" s="71">
        <f>G30-L30</f>
        <v>0</v>
      </c>
      <c r="G30" s="45">
        <v>1800</v>
      </c>
      <c r="H30" s="70">
        <f>G30/12*10</f>
        <v>1500</v>
      </c>
      <c r="J30" s="70">
        <f>H30-I30</f>
        <v>1500</v>
      </c>
      <c r="L30" s="45">
        <v>1800</v>
      </c>
      <c r="M30" s="70">
        <f>L30/12*10</f>
        <v>1500</v>
      </c>
      <c r="N30" s="46">
        <v>1350</v>
      </c>
    </row>
    <row r="31" spans="1:18" x14ac:dyDescent="0.25">
      <c r="A31" s="60"/>
      <c r="C31" s="42"/>
      <c r="D31" s="45"/>
      <c r="F31" s="42"/>
      <c r="G31" s="45"/>
      <c r="L31" s="45"/>
      <c r="N31" s="46"/>
    </row>
    <row r="32" spans="1:18" s="142" customFormat="1" ht="15.75" thickBot="1" x14ac:dyDescent="0.3">
      <c r="A32" s="148" t="s">
        <v>1</v>
      </c>
      <c r="C32" s="108">
        <f t="shared" ref="C32:D32" si="13">SUM(C28:C31)</f>
        <v>-734.76825396825393</v>
      </c>
      <c r="D32" s="109">
        <f t="shared" si="13"/>
        <v>3895.8317460317462</v>
      </c>
      <c r="F32" s="108">
        <f t="shared" ref="F32:J32" si="14">SUM(F28:F31)</f>
        <v>912.6</v>
      </c>
      <c r="G32" s="109">
        <f t="shared" si="14"/>
        <v>4630.6000000000004</v>
      </c>
      <c r="H32" s="62">
        <f t="shared" si="14"/>
        <v>3858.8333333333335</v>
      </c>
      <c r="I32" s="62">
        <f t="shared" si="14"/>
        <v>2032.45</v>
      </c>
      <c r="J32" s="62">
        <f t="shared" si="14"/>
        <v>1826.3833333333332</v>
      </c>
      <c r="L32" s="109">
        <f>SUM(L28:L31)</f>
        <v>3718</v>
      </c>
      <c r="M32" s="62">
        <f t="shared" ref="M32:O32" si="15">SUM(M28:M31)</f>
        <v>3098.3333333333335</v>
      </c>
      <c r="N32" s="62">
        <f t="shared" si="15"/>
        <v>2726.95</v>
      </c>
      <c r="O32" s="62">
        <f t="shared" si="15"/>
        <v>-276.63000000000005</v>
      </c>
      <c r="Q32" s="169">
        <f>SUM(C32:P32)</f>
        <v>25688.583492063492</v>
      </c>
      <c r="R32" s="170" t="s">
        <v>173</v>
      </c>
    </row>
    <row r="34" spans="1:3" x14ac:dyDescent="0.25">
      <c r="A34" s="5" t="s">
        <v>164</v>
      </c>
      <c r="B34" s="5"/>
      <c r="C34" s="110">
        <f>Summary!$C$26</f>
        <v>2.4E-2</v>
      </c>
    </row>
  </sheetData>
  <sheetProtection algorithmName="SHA-512" hashValue="Iv+1pcHZiogbp+HLS0V9YGJx19WlJtyFaWw1ipNULtkrLkoKAiD9dw8k3PeafoeyqbmcoYEltirmv25iNZkkKQ==" saltValue="tFiy5rANK2D9wuC3qXcndA==" spinCount="100000" sheet="1" objects="1" scenarios="1"/>
  <mergeCells count="10">
    <mergeCell ref="C4:D4"/>
    <mergeCell ref="G4:J4"/>
    <mergeCell ref="L4:O4"/>
    <mergeCell ref="C5:C6"/>
    <mergeCell ref="D5:D6"/>
    <mergeCell ref="F5:F6"/>
    <mergeCell ref="G5:H5"/>
    <mergeCell ref="L5:M5"/>
    <mergeCell ref="H6:J6"/>
    <mergeCell ref="M6:O6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93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U35"/>
  <sheetViews>
    <sheetView showGridLines="0" zoomScale="80" zoomScaleNormal="80" workbookViewId="0"/>
  </sheetViews>
  <sheetFormatPr defaultColWidth="9.140625" defaultRowHeight="15" x14ac:dyDescent="0.25"/>
  <cols>
    <col min="1" max="1" width="40.7109375" style="41" customWidth="1"/>
    <col min="2" max="2" width="2.7109375" style="41" customWidth="1"/>
    <col min="3" max="4" width="11.7109375" style="41" customWidth="1"/>
    <col min="5" max="5" width="2.7109375" style="41" customWidth="1"/>
    <col min="6" max="10" width="11.7109375" style="41" customWidth="1"/>
    <col min="11" max="11" width="2.7109375" style="41" customWidth="1"/>
    <col min="12" max="15" width="11.7109375" style="41" customWidth="1"/>
    <col min="16" max="16" width="2.7109375" style="41" customWidth="1"/>
    <col min="17" max="16384" width="9.140625" style="41"/>
  </cols>
  <sheetData>
    <row r="1" spans="1:18" ht="21" x14ac:dyDescent="0.25">
      <c r="A1" s="63" t="s">
        <v>124</v>
      </c>
      <c r="B1" s="64"/>
      <c r="C1" s="66" t="s">
        <v>166</v>
      </c>
      <c r="D1" s="65"/>
      <c r="E1" s="65"/>
      <c r="F1" s="65"/>
      <c r="G1" s="66" t="s">
        <v>231</v>
      </c>
      <c r="H1" s="5"/>
      <c r="I1" s="203">
        <v>12</v>
      </c>
      <c r="J1" s="5"/>
      <c r="K1" s="5"/>
      <c r="L1" s="5"/>
      <c r="M1" s="5"/>
      <c r="N1" s="5"/>
      <c r="O1" s="5"/>
      <c r="P1" s="5"/>
      <c r="Q1" s="5"/>
    </row>
    <row r="2" spans="1:18" x14ac:dyDescent="0.25">
      <c r="A2" s="64"/>
      <c r="B2" s="64"/>
      <c r="C2" s="64"/>
      <c r="D2" s="65"/>
      <c r="E2" s="65"/>
      <c r="F2" s="65"/>
      <c r="G2" s="64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8" ht="21" x14ac:dyDescent="0.25">
      <c r="A3" s="66" t="s">
        <v>238</v>
      </c>
      <c r="B3" s="65"/>
      <c r="C3" s="65"/>
      <c r="D3" s="65"/>
      <c r="E3" s="65"/>
      <c r="F3" s="65"/>
      <c r="G3" s="64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ht="21" x14ac:dyDescent="0.25">
      <c r="A4" s="21"/>
      <c r="B4" s="21"/>
      <c r="C4" s="313">
        <v>2019</v>
      </c>
      <c r="D4" s="313"/>
      <c r="E4" s="22"/>
      <c r="F4" s="21"/>
      <c r="G4" s="313">
        <v>2018</v>
      </c>
      <c r="H4" s="314"/>
      <c r="I4" s="314"/>
      <c r="J4" s="314"/>
      <c r="K4" s="21"/>
      <c r="L4" s="313">
        <v>2017</v>
      </c>
      <c r="M4" s="313"/>
      <c r="N4" s="313"/>
      <c r="O4" s="313"/>
      <c r="P4" s="22"/>
      <c r="Q4" s="23" t="s">
        <v>98</v>
      </c>
    </row>
    <row r="5" spans="1:18" x14ac:dyDescent="0.25">
      <c r="A5" s="31"/>
      <c r="B5" s="31"/>
      <c r="C5" s="315" t="s">
        <v>163</v>
      </c>
      <c r="D5" s="317" t="s">
        <v>44</v>
      </c>
      <c r="E5" s="31"/>
      <c r="F5" s="315" t="s">
        <v>162</v>
      </c>
      <c r="G5" s="321" t="s">
        <v>161</v>
      </c>
      <c r="H5" s="321"/>
      <c r="I5" s="32" t="s">
        <v>117</v>
      </c>
      <c r="J5" s="32" t="s">
        <v>97</v>
      </c>
      <c r="K5" s="31"/>
      <c r="L5" s="321" t="s">
        <v>161</v>
      </c>
      <c r="M5" s="330"/>
      <c r="N5" s="32" t="s">
        <v>117</v>
      </c>
      <c r="O5" s="32" t="s">
        <v>97</v>
      </c>
      <c r="P5" s="32"/>
      <c r="Q5" s="33"/>
    </row>
    <row r="6" spans="1:18" x14ac:dyDescent="0.25">
      <c r="A6" s="31"/>
      <c r="B6" s="31"/>
      <c r="C6" s="316"/>
      <c r="D6" s="318"/>
      <c r="E6" s="31"/>
      <c r="F6" s="319"/>
      <c r="G6" s="34" t="s">
        <v>159</v>
      </c>
      <c r="H6" s="321" t="s">
        <v>160</v>
      </c>
      <c r="I6" s="310"/>
      <c r="J6" s="310"/>
      <c r="K6" s="31"/>
      <c r="L6" s="34" t="s">
        <v>159</v>
      </c>
      <c r="M6" s="321" t="s">
        <v>160</v>
      </c>
      <c r="N6" s="310"/>
      <c r="O6" s="310"/>
      <c r="P6" s="32"/>
      <c r="Q6" s="33"/>
    </row>
    <row r="7" spans="1:18" ht="15.75" x14ac:dyDescent="0.25">
      <c r="A7" s="67" t="s">
        <v>20</v>
      </c>
      <c r="B7" s="67"/>
      <c r="C7" s="71"/>
      <c r="D7" s="72"/>
      <c r="E7" s="73"/>
      <c r="F7" s="71"/>
      <c r="G7" s="72"/>
      <c r="H7" s="73"/>
      <c r="I7" s="73"/>
      <c r="J7" s="73"/>
      <c r="K7" s="73"/>
      <c r="L7" s="72"/>
      <c r="M7" s="73"/>
      <c r="N7" s="73"/>
      <c r="O7" s="73"/>
      <c r="P7" s="38"/>
      <c r="Q7" s="38"/>
    </row>
    <row r="8" spans="1:18" ht="15.75" x14ac:dyDescent="0.25">
      <c r="A8" s="68" t="s">
        <v>21</v>
      </c>
      <c r="B8" s="68"/>
      <c r="C8" s="69">
        <f>D8-G8</f>
        <v>-4</v>
      </c>
      <c r="D8" s="74">
        <v>546</v>
      </c>
      <c r="E8" s="73"/>
      <c r="F8" s="71">
        <f>G8-L8</f>
        <v>135</v>
      </c>
      <c r="G8" s="74">
        <v>550</v>
      </c>
      <c r="H8" s="70">
        <f>G8/12*10</f>
        <v>458.33333333333337</v>
      </c>
      <c r="I8" s="70">
        <v>340.8</v>
      </c>
      <c r="J8" s="70">
        <f>H8-I8</f>
        <v>117.53333333333336</v>
      </c>
      <c r="K8" s="73"/>
      <c r="L8" s="72">
        <v>415</v>
      </c>
      <c r="M8" s="70">
        <f>L8/12*10</f>
        <v>345.83333333333337</v>
      </c>
      <c r="N8" s="73">
        <v>377.59</v>
      </c>
      <c r="O8" s="73">
        <f>M8-N8</f>
        <v>-31.756666666666604</v>
      </c>
      <c r="P8" s="39"/>
      <c r="Q8" s="85"/>
    </row>
    <row r="9" spans="1:18" ht="15.75" x14ac:dyDescent="0.25">
      <c r="A9" s="68" t="s">
        <v>14</v>
      </c>
      <c r="B9" s="68" t="s">
        <v>165</v>
      </c>
      <c r="C9" s="69">
        <f>D9-G9</f>
        <v>2.4000000000000057</v>
      </c>
      <c r="D9" s="95">
        <f>G9+(G9*$C$35)</f>
        <v>102.4</v>
      </c>
      <c r="E9" s="73"/>
      <c r="F9" s="71">
        <f t="shared" ref="F9:F11" si="0">G9-L9</f>
        <v>0</v>
      </c>
      <c r="G9" s="74">
        <v>100</v>
      </c>
      <c r="H9" s="70">
        <f>G9/12*10</f>
        <v>83.333333333333343</v>
      </c>
      <c r="I9" s="70">
        <v>80</v>
      </c>
      <c r="J9" s="70">
        <f>H9-I9</f>
        <v>3.3333333333333428</v>
      </c>
      <c r="K9" s="73"/>
      <c r="L9" s="72">
        <v>100</v>
      </c>
      <c r="M9" s="70">
        <f>L9/12*10</f>
        <v>83.333333333333343</v>
      </c>
      <c r="N9" s="73">
        <v>80</v>
      </c>
      <c r="O9" s="73">
        <f>M9-N9</f>
        <v>3.3333333333333428</v>
      </c>
      <c r="P9" s="39"/>
      <c r="Q9" s="85"/>
      <c r="R9" s="27"/>
    </row>
    <row r="10" spans="1:18" ht="15.75" x14ac:dyDescent="0.25">
      <c r="A10" s="68" t="s">
        <v>15</v>
      </c>
      <c r="B10" s="68" t="s">
        <v>165</v>
      </c>
      <c r="C10" s="69">
        <f>D10-G10</f>
        <v>6</v>
      </c>
      <c r="D10" s="95">
        <f>G10+(G10*$C$35)</f>
        <v>256</v>
      </c>
      <c r="E10" s="73"/>
      <c r="F10" s="71">
        <f t="shared" si="0"/>
        <v>0</v>
      </c>
      <c r="G10" s="74">
        <v>250</v>
      </c>
      <c r="H10" s="70">
        <f>G10/12*10</f>
        <v>208.33333333333331</v>
      </c>
      <c r="I10" s="70">
        <v>0</v>
      </c>
      <c r="J10" s="70">
        <f>H10-I10</f>
        <v>208.33333333333331</v>
      </c>
      <c r="K10" s="73"/>
      <c r="L10" s="72">
        <v>250</v>
      </c>
      <c r="M10" s="70">
        <f>L10/12*10</f>
        <v>208.33333333333331</v>
      </c>
      <c r="N10" s="73">
        <v>0</v>
      </c>
      <c r="O10" s="73">
        <f>M10-N10</f>
        <v>208.33333333333331</v>
      </c>
      <c r="P10" s="39"/>
      <c r="Q10" s="158"/>
    </row>
    <row r="11" spans="1:18" ht="15.75" x14ac:dyDescent="0.25">
      <c r="A11" s="68" t="s">
        <v>153</v>
      </c>
      <c r="B11" s="68"/>
      <c r="C11" s="69">
        <f>D11-G11</f>
        <v>168</v>
      </c>
      <c r="D11" s="74">
        <f>140*1.2</f>
        <v>168</v>
      </c>
      <c r="E11" s="73"/>
      <c r="F11" s="71">
        <f t="shared" si="0"/>
        <v>0</v>
      </c>
      <c r="G11" s="74">
        <v>0</v>
      </c>
      <c r="H11" s="70">
        <f>G11/12*10</f>
        <v>0</v>
      </c>
      <c r="I11" s="70">
        <v>0</v>
      </c>
      <c r="J11" s="70">
        <f>H11-I11</f>
        <v>0</v>
      </c>
      <c r="K11" s="73"/>
      <c r="L11" s="72">
        <v>0</v>
      </c>
      <c r="M11" s="70">
        <f>L11/12*10</f>
        <v>0</v>
      </c>
      <c r="N11" s="73">
        <v>0</v>
      </c>
      <c r="O11" s="73">
        <f>M11-N11</f>
        <v>0</v>
      </c>
      <c r="P11" s="39"/>
      <c r="Q11" s="87"/>
    </row>
    <row r="12" spans="1:18" ht="15.75" x14ac:dyDescent="0.25">
      <c r="A12" s="68"/>
      <c r="B12" s="68"/>
      <c r="C12" s="69"/>
      <c r="D12" s="74"/>
      <c r="E12" s="73"/>
      <c r="F12" s="71"/>
      <c r="G12" s="74"/>
      <c r="H12" s="70"/>
      <c r="I12" s="70"/>
      <c r="J12" s="70"/>
      <c r="K12" s="73"/>
      <c r="L12" s="72"/>
      <c r="M12" s="73"/>
      <c r="N12" s="73"/>
      <c r="O12" s="73"/>
      <c r="P12" s="39"/>
      <c r="Q12" s="46"/>
    </row>
    <row r="13" spans="1:18" s="142" customFormat="1" ht="16.5" thickBot="1" x14ac:dyDescent="0.3">
      <c r="A13" s="148" t="s">
        <v>169</v>
      </c>
      <c r="B13" s="67"/>
      <c r="C13" s="75">
        <f>SUM(C7:C12)</f>
        <v>172.4</v>
      </c>
      <c r="D13" s="76">
        <f>SUM(D7:D12)</f>
        <v>1072.4000000000001</v>
      </c>
      <c r="E13" s="77"/>
      <c r="F13" s="75">
        <f t="shared" ref="F13:J13" si="1">SUM(F7:F12)</f>
        <v>135</v>
      </c>
      <c r="G13" s="76">
        <f t="shared" si="1"/>
        <v>900</v>
      </c>
      <c r="H13" s="78">
        <f t="shared" si="1"/>
        <v>750</v>
      </c>
      <c r="I13" s="78">
        <f t="shared" si="1"/>
        <v>420.8</v>
      </c>
      <c r="J13" s="78">
        <f t="shared" si="1"/>
        <v>329.20000000000005</v>
      </c>
      <c r="K13" s="77"/>
      <c r="L13" s="84">
        <f t="shared" ref="L13:O13" si="2">SUM(L7:L12)</f>
        <v>765</v>
      </c>
      <c r="M13" s="78">
        <f t="shared" si="2"/>
        <v>637.5</v>
      </c>
      <c r="N13" s="78">
        <f t="shared" si="2"/>
        <v>457.59</v>
      </c>
      <c r="O13" s="78">
        <f t="shared" si="2"/>
        <v>179.91000000000005</v>
      </c>
      <c r="P13" s="40"/>
      <c r="Q13" s="54"/>
    </row>
    <row r="14" spans="1:18" x14ac:dyDescent="0.25">
      <c r="C14" s="125"/>
      <c r="D14" s="126"/>
      <c r="E14" s="127"/>
      <c r="F14" s="125"/>
      <c r="G14" s="126"/>
      <c r="H14" s="127"/>
      <c r="I14" s="127"/>
      <c r="J14" s="127"/>
      <c r="K14" s="127"/>
      <c r="L14" s="126"/>
      <c r="M14" s="127"/>
      <c r="N14" s="127"/>
      <c r="O14" s="127"/>
      <c r="Q14" s="46"/>
    </row>
    <row r="15" spans="1:18" x14ac:dyDescent="0.25">
      <c r="A15" s="59" t="s">
        <v>23</v>
      </c>
      <c r="C15" s="125"/>
      <c r="D15" s="126"/>
      <c r="E15" s="127"/>
      <c r="F15" s="125"/>
      <c r="G15" s="126"/>
      <c r="H15" s="127"/>
      <c r="I15" s="127"/>
      <c r="J15" s="127"/>
      <c r="K15" s="127"/>
      <c r="L15" s="126"/>
      <c r="M15" s="127"/>
      <c r="N15" s="127"/>
      <c r="O15" s="127"/>
      <c r="Q15" s="46"/>
    </row>
    <row r="16" spans="1:18" ht="15.75" x14ac:dyDescent="0.25">
      <c r="A16" s="60" t="s">
        <v>22</v>
      </c>
      <c r="B16" s="68"/>
      <c r="C16" s="69">
        <f t="shared" ref="C16:C23" si="3">D16-G16</f>
        <v>-1300</v>
      </c>
      <c r="D16" s="126">
        <v>500</v>
      </c>
      <c r="E16" s="127"/>
      <c r="F16" s="71">
        <f t="shared" ref="F16:F23" si="4">G16-L16</f>
        <v>1400</v>
      </c>
      <c r="G16" s="126">
        <v>1800</v>
      </c>
      <c r="H16" s="70">
        <f t="shared" ref="H16:H23" si="5">G16/12*10</f>
        <v>1500</v>
      </c>
      <c r="I16" s="70">
        <v>4197.2299999999996</v>
      </c>
      <c r="J16" s="70">
        <f t="shared" ref="J16:J23" si="6">H16-I16</f>
        <v>-2697.2299999999996</v>
      </c>
      <c r="K16" s="127"/>
      <c r="L16" s="126">
        <v>400</v>
      </c>
      <c r="M16" s="70">
        <f t="shared" ref="M16:M22" si="7">L16/12*10</f>
        <v>333.33333333333337</v>
      </c>
      <c r="N16" s="127">
        <v>191.58</v>
      </c>
      <c r="O16" s="73">
        <f t="shared" ref="O16:O22" si="8">M16-N16</f>
        <v>141.75333333333336</v>
      </c>
      <c r="Q16" s="158"/>
    </row>
    <row r="17" spans="1:21" ht="15.75" x14ac:dyDescent="0.25">
      <c r="A17" s="60" t="s">
        <v>16</v>
      </c>
      <c r="B17" s="68" t="s">
        <v>165</v>
      </c>
      <c r="C17" s="69">
        <f t="shared" si="3"/>
        <v>2.4000000000000057</v>
      </c>
      <c r="D17" s="95">
        <f t="shared" ref="D17:D20" si="9">G17+(G17*$C$35)</f>
        <v>102.4</v>
      </c>
      <c r="E17" s="127"/>
      <c r="F17" s="71">
        <f t="shared" si="4"/>
        <v>50</v>
      </c>
      <c r="G17" s="126">
        <v>100</v>
      </c>
      <c r="H17" s="70">
        <f t="shared" si="5"/>
        <v>83.333333333333343</v>
      </c>
      <c r="I17" s="70">
        <v>23.88</v>
      </c>
      <c r="J17" s="70">
        <f t="shared" si="6"/>
        <v>59.453333333333347</v>
      </c>
      <c r="K17" s="127"/>
      <c r="L17" s="126">
        <v>50</v>
      </c>
      <c r="M17" s="70">
        <f t="shared" si="7"/>
        <v>41.666666666666671</v>
      </c>
      <c r="N17" s="127">
        <v>140</v>
      </c>
      <c r="O17" s="73">
        <f t="shared" si="8"/>
        <v>-98.333333333333329</v>
      </c>
      <c r="Q17" s="46"/>
    </row>
    <row r="18" spans="1:21" ht="15.75" x14ac:dyDescent="0.25">
      <c r="A18" s="60" t="s">
        <v>24</v>
      </c>
      <c r="B18" s="68" t="s">
        <v>165</v>
      </c>
      <c r="C18" s="69">
        <f t="shared" si="3"/>
        <v>1.2000000000000028</v>
      </c>
      <c r="D18" s="95">
        <f t="shared" si="9"/>
        <v>51.2</v>
      </c>
      <c r="E18" s="127"/>
      <c r="F18" s="71">
        <f t="shared" si="4"/>
        <v>0</v>
      </c>
      <c r="G18" s="126">
        <v>50</v>
      </c>
      <c r="H18" s="70">
        <f t="shared" si="5"/>
        <v>41.666666666666671</v>
      </c>
      <c r="I18" s="70">
        <v>30</v>
      </c>
      <c r="J18" s="70">
        <f t="shared" si="6"/>
        <v>11.666666666666671</v>
      </c>
      <c r="K18" s="127"/>
      <c r="L18" s="126">
        <v>50</v>
      </c>
      <c r="M18" s="70">
        <f t="shared" si="7"/>
        <v>41.666666666666671</v>
      </c>
      <c r="N18" s="127">
        <v>190</v>
      </c>
      <c r="O18" s="73">
        <f t="shared" si="8"/>
        <v>-148.33333333333331</v>
      </c>
      <c r="Q18" s="46"/>
    </row>
    <row r="19" spans="1:21" ht="15.75" x14ac:dyDescent="0.25">
      <c r="A19" s="60" t="s">
        <v>25</v>
      </c>
      <c r="B19" s="68" t="s">
        <v>165</v>
      </c>
      <c r="C19" s="69">
        <f t="shared" si="3"/>
        <v>1.2000000000000028</v>
      </c>
      <c r="D19" s="95">
        <f t="shared" si="9"/>
        <v>51.2</v>
      </c>
      <c r="E19" s="127"/>
      <c r="F19" s="71">
        <f t="shared" si="4"/>
        <v>0</v>
      </c>
      <c r="G19" s="126">
        <v>50</v>
      </c>
      <c r="H19" s="70">
        <f t="shared" si="5"/>
        <v>41.666666666666671</v>
      </c>
      <c r="I19" s="70">
        <v>111.8</v>
      </c>
      <c r="J19" s="70">
        <f t="shared" si="6"/>
        <v>-70.133333333333326</v>
      </c>
      <c r="K19" s="127"/>
      <c r="L19" s="126">
        <v>50</v>
      </c>
      <c r="M19" s="70">
        <f t="shared" si="7"/>
        <v>41.666666666666671</v>
      </c>
      <c r="N19" s="127">
        <v>48</v>
      </c>
      <c r="O19" s="73">
        <f t="shared" si="8"/>
        <v>-6.3333333333333286</v>
      </c>
    </row>
    <row r="20" spans="1:21" ht="15.75" x14ac:dyDescent="0.25">
      <c r="A20" s="60" t="s">
        <v>12</v>
      </c>
      <c r="B20" s="68" t="s">
        <v>165</v>
      </c>
      <c r="C20" s="69">
        <f t="shared" si="3"/>
        <v>2.4000000000000057</v>
      </c>
      <c r="D20" s="95">
        <f t="shared" si="9"/>
        <v>102.4</v>
      </c>
      <c r="E20" s="127"/>
      <c r="F20" s="71">
        <f t="shared" si="4"/>
        <v>47</v>
      </c>
      <c r="G20" s="126">
        <v>100</v>
      </c>
      <c r="H20" s="70">
        <f t="shared" si="5"/>
        <v>83.333333333333343</v>
      </c>
      <c r="I20" s="70">
        <v>90</v>
      </c>
      <c r="J20" s="70">
        <f t="shared" si="6"/>
        <v>-6.6666666666666572</v>
      </c>
      <c r="K20" s="127"/>
      <c r="L20" s="126">
        <v>53</v>
      </c>
      <c r="M20" s="70">
        <f t="shared" si="7"/>
        <v>44.166666666666671</v>
      </c>
      <c r="N20" s="127">
        <v>90</v>
      </c>
      <c r="O20" s="73">
        <f t="shared" si="8"/>
        <v>-45.833333333333329</v>
      </c>
      <c r="Q20" s="46"/>
    </row>
    <row r="21" spans="1:21" ht="15.75" x14ac:dyDescent="0.25">
      <c r="A21" s="156" t="s">
        <v>123</v>
      </c>
      <c r="C21" s="69">
        <f t="shared" si="3"/>
        <v>0</v>
      </c>
      <c r="D21" s="126">
        <v>0</v>
      </c>
      <c r="E21" s="127"/>
      <c r="F21" s="71">
        <f t="shared" si="4"/>
        <v>0</v>
      </c>
      <c r="G21" s="126">
        <v>0</v>
      </c>
      <c r="H21" s="70">
        <f t="shared" si="5"/>
        <v>0</v>
      </c>
      <c r="I21" s="70">
        <v>1013.13</v>
      </c>
      <c r="J21" s="70">
        <f t="shared" si="6"/>
        <v>-1013.13</v>
      </c>
      <c r="K21" s="127"/>
      <c r="L21" s="126">
        <v>0</v>
      </c>
      <c r="M21" s="70">
        <f t="shared" si="7"/>
        <v>0</v>
      </c>
      <c r="N21" s="127">
        <v>527.48</v>
      </c>
      <c r="O21" s="73">
        <f t="shared" si="8"/>
        <v>-527.48</v>
      </c>
      <c r="Q21" s="46" t="s">
        <v>268</v>
      </c>
      <c r="U21" s="58"/>
    </row>
    <row r="22" spans="1:21" ht="15.75" x14ac:dyDescent="0.25">
      <c r="A22" s="156" t="s">
        <v>127</v>
      </c>
      <c r="C22" s="69">
        <f t="shared" si="3"/>
        <v>0</v>
      </c>
      <c r="D22" s="126">
        <v>0</v>
      </c>
      <c r="E22" s="127"/>
      <c r="F22" s="71">
        <f t="shared" si="4"/>
        <v>0</v>
      </c>
      <c r="G22" s="126">
        <v>0</v>
      </c>
      <c r="H22" s="70">
        <f t="shared" si="5"/>
        <v>0</v>
      </c>
      <c r="I22" s="70">
        <v>46.92</v>
      </c>
      <c r="J22" s="70">
        <f t="shared" si="6"/>
        <v>-46.92</v>
      </c>
      <c r="K22" s="127"/>
      <c r="L22" s="126">
        <v>0</v>
      </c>
      <c r="M22" s="70">
        <f t="shared" si="7"/>
        <v>0</v>
      </c>
      <c r="N22" s="127">
        <v>90</v>
      </c>
      <c r="O22" s="73">
        <f t="shared" si="8"/>
        <v>-90</v>
      </c>
      <c r="Q22" s="280" t="s">
        <v>265</v>
      </c>
    </row>
    <row r="23" spans="1:21" ht="15.75" x14ac:dyDescent="0.25">
      <c r="A23" s="156" t="s">
        <v>157</v>
      </c>
      <c r="C23" s="69">
        <f t="shared" si="3"/>
        <v>64.38095238095238</v>
      </c>
      <c r="D23" s="126">
        <f>Reserves!W14</f>
        <v>64.38095238095238</v>
      </c>
      <c r="E23" s="127"/>
      <c r="F23" s="71">
        <f t="shared" si="4"/>
        <v>0</v>
      </c>
      <c r="G23" s="126">
        <v>0</v>
      </c>
      <c r="H23" s="70">
        <f t="shared" si="5"/>
        <v>0</v>
      </c>
      <c r="I23" s="70">
        <v>0</v>
      </c>
      <c r="J23" s="70">
        <f t="shared" si="6"/>
        <v>0</v>
      </c>
      <c r="K23" s="127"/>
      <c r="L23" s="126"/>
      <c r="M23" s="127"/>
      <c r="N23" s="127"/>
      <c r="O23" s="127"/>
      <c r="Q23" s="46"/>
    </row>
    <row r="24" spans="1:21" x14ac:dyDescent="0.25">
      <c r="A24" s="156"/>
      <c r="C24" s="125"/>
      <c r="D24" s="126"/>
      <c r="E24" s="127"/>
      <c r="F24" s="125"/>
      <c r="G24" s="126"/>
      <c r="H24" s="127"/>
      <c r="I24" s="127"/>
      <c r="J24" s="127"/>
      <c r="K24" s="127"/>
      <c r="L24" s="126"/>
      <c r="M24" s="127"/>
      <c r="N24" s="127"/>
      <c r="O24" s="127"/>
      <c r="Q24" s="46"/>
    </row>
    <row r="25" spans="1:21" s="142" customFormat="1" ht="15.75" thickBot="1" x14ac:dyDescent="0.3">
      <c r="A25" s="148" t="s">
        <v>170</v>
      </c>
      <c r="C25" s="149">
        <f t="shared" ref="C25" si="10">SUM(C15:C24)</f>
        <v>-1228.4190476190474</v>
      </c>
      <c r="D25" s="150">
        <f t="shared" ref="D25" si="11">SUM(D15:D24)</f>
        <v>871.58095238095245</v>
      </c>
      <c r="E25" s="151"/>
      <c r="F25" s="149">
        <f t="shared" ref="F25:J25" si="12">SUM(F15:F24)</f>
        <v>1497</v>
      </c>
      <c r="G25" s="150">
        <f t="shared" si="12"/>
        <v>2100</v>
      </c>
      <c r="H25" s="148">
        <f t="shared" si="12"/>
        <v>1750</v>
      </c>
      <c r="I25" s="148">
        <f t="shared" si="12"/>
        <v>5512.96</v>
      </c>
      <c r="J25" s="148">
        <f t="shared" si="12"/>
        <v>-3762.9599999999996</v>
      </c>
      <c r="K25" s="151"/>
      <c r="L25" s="150">
        <f>SUM(L15:L24)</f>
        <v>603</v>
      </c>
      <c r="M25" s="148">
        <f t="shared" ref="M25:O25" si="13">SUM(M15:M24)</f>
        <v>502.50000000000011</v>
      </c>
      <c r="N25" s="148">
        <f t="shared" si="13"/>
        <v>1277.06</v>
      </c>
      <c r="O25" s="148">
        <f t="shared" si="13"/>
        <v>-774.56</v>
      </c>
      <c r="Q25" s="54"/>
    </row>
    <row r="26" spans="1:21" x14ac:dyDescent="0.25">
      <c r="A26" s="44"/>
      <c r="C26" s="133"/>
      <c r="D26" s="126"/>
      <c r="E26" s="127"/>
      <c r="F26" s="125"/>
      <c r="G26" s="134"/>
      <c r="H26" s="127"/>
      <c r="I26" s="127"/>
      <c r="J26" s="127"/>
      <c r="K26" s="127"/>
      <c r="L26" s="134"/>
      <c r="M26" s="127"/>
      <c r="N26" s="135"/>
      <c r="O26" s="127"/>
      <c r="Q26" s="46"/>
    </row>
    <row r="27" spans="1:21" ht="15.75" x14ac:dyDescent="0.25">
      <c r="A27" s="60" t="s">
        <v>90</v>
      </c>
      <c r="C27" s="69">
        <f>D27-G27</f>
        <v>0</v>
      </c>
      <c r="D27" s="126">
        <v>670</v>
      </c>
      <c r="E27" s="127"/>
      <c r="F27" s="71">
        <f>G27-L27</f>
        <v>0</v>
      </c>
      <c r="G27" s="126">
        <v>670</v>
      </c>
      <c r="H27" s="70">
        <f>G27/12*10</f>
        <v>558.33333333333337</v>
      </c>
      <c r="I27" s="70">
        <v>0</v>
      </c>
      <c r="J27" s="70">
        <f>H27-I27</f>
        <v>558.33333333333337</v>
      </c>
      <c r="K27" s="127"/>
      <c r="L27" s="126">
        <v>670</v>
      </c>
      <c r="M27" s="70">
        <f>L27/12*10</f>
        <v>558.33333333333337</v>
      </c>
      <c r="N27" s="127">
        <v>0</v>
      </c>
      <c r="O27" s="73">
        <f>M27-N27</f>
        <v>558.33333333333337</v>
      </c>
      <c r="Q27" s="46"/>
    </row>
    <row r="28" spans="1:21" x14ac:dyDescent="0.25">
      <c r="A28" s="60"/>
      <c r="C28" s="125"/>
      <c r="D28" s="126"/>
      <c r="E28" s="127"/>
      <c r="F28" s="125"/>
      <c r="G28" s="126"/>
      <c r="H28" s="127"/>
      <c r="I28" s="127"/>
      <c r="J28" s="127"/>
      <c r="K28" s="127"/>
      <c r="L28" s="126"/>
      <c r="M28" s="127"/>
      <c r="N28" s="127"/>
      <c r="O28" s="127"/>
      <c r="Q28" s="46"/>
    </row>
    <row r="29" spans="1:21" s="142" customFormat="1" ht="15.75" thickBot="1" x14ac:dyDescent="0.3">
      <c r="A29" s="148" t="s">
        <v>168</v>
      </c>
      <c r="C29" s="149">
        <f t="shared" ref="C29:D29" si="14">C13+C25+C27</f>
        <v>-1056.0190476190473</v>
      </c>
      <c r="D29" s="150">
        <f t="shared" si="14"/>
        <v>2613.9809523809527</v>
      </c>
      <c r="E29" s="151"/>
      <c r="F29" s="149">
        <f t="shared" ref="F29:J29" si="15">F13+F25+F27</f>
        <v>1632</v>
      </c>
      <c r="G29" s="150">
        <f t="shared" si="15"/>
        <v>3670</v>
      </c>
      <c r="H29" s="148">
        <f t="shared" si="15"/>
        <v>3058.3333333333335</v>
      </c>
      <c r="I29" s="148">
        <f t="shared" si="15"/>
        <v>5933.76</v>
      </c>
      <c r="J29" s="148">
        <f t="shared" si="15"/>
        <v>-2875.4266666666658</v>
      </c>
      <c r="K29" s="151"/>
      <c r="L29" s="150">
        <f>L13+L25+L27</f>
        <v>2038</v>
      </c>
      <c r="M29" s="148">
        <f t="shared" ref="M29:O29" si="16">M13+M25+M27</f>
        <v>1698.3333333333335</v>
      </c>
      <c r="N29" s="148">
        <f t="shared" si="16"/>
        <v>1734.6499999999999</v>
      </c>
      <c r="O29" s="148">
        <f t="shared" si="16"/>
        <v>-36.316666666666492</v>
      </c>
      <c r="Q29" s="159"/>
    </row>
    <row r="30" spans="1:21" x14ac:dyDescent="0.25">
      <c r="C30" s="133"/>
      <c r="D30" s="126"/>
      <c r="E30" s="127"/>
      <c r="F30" s="125"/>
      <c r="G30" s="134"/>
      <c r="H30" s="127"/>
      <c r="I30" s="127"/>
      <c r="J30" s="127"/>
      <c r="K30" s="127"/>
      <c r="L30" s="134"/>
      <c r="M30" s="127"/>
      <c r="N30" s="135"/>
      <c r="O30" s="127"/>
    </row>
    <row r="31" spans="1:21" ht="15.75" x14ac:dyDescent="0.25">
      <c r="A31" s="60" t="s">
        <v>100</v>
      </c>
      <c r="C31" s="69">
        <f>D31-G31</f>
        <v>-355</v>
      </c>
      <c r="D31" s="126">
        <f>Reserves!F14</f>
        <v>3195</v>
      </c>
      <c r="E31" s="127"/>
      <c r="F31" s="71">
        <f>G31-L31</f>
        <v>0</v>
      </c>
      <c r="G31" s="126">
        <v>3550</v>
      </c>
      <c r="H31" s="70">
        <f>G31/12*10</f>
        <v>2958.333333333333</v>
      </c>
      <c r="I31" s="70">
        <v>0</v>
      </c>
      <c r="J31" s="70">
        <f>H31-I31</f>
        <v>2958.333333333333</v>
      </c>
      <c r="K31" s="127"/>
      <c r="L31" s="126">
        <v>3550</v>
      </c>
      <c r="M31" s="70">
        <f>L31/12*10</f>
        <v>2958.333333333333</v>
      </c>
      <c r="N31" s="127">
        <v>2662.5</v>
      </c>
      <c r="O31" s="73">
        <f>M31-N31</f>
        <v>295.83333333333303</v>
      </c>
    </row>
    <row r="32" spans="1:21" x14ac:dyDescent="0.25">
      <c r="A32" s="60"/>
      <c r="C32" s="125"/>
      <c r="D32" s="126"/>
      <c r="E32" s="127"/>
      <c r="F32" s="125"/>
      <c r="G32" s="126"/>
      <c r="H32" s="127"/>
      <c r="I32" s="127"/>
      <c r="J32" s="127"/>
      <c r="K32" s="127"/>
      <c r="L32" s="126"/>
      <c r="M32" s="127"/>
      <c r="N32" s="127"/>
      <c r="O32" s="127"/>
    </row>
    <row r="33" spans="1:18" s="142" customFormat="1" ht="15.75" thickBot="1" x14ac:dyDescent="0.3">
      <c r="A33" s="148" t="s">
        <v>1</v>
      </c>
      <c r="C33" s="138">
        <f t="shared" ref="C33" si="17">SUM(C29:C32)</f>
        <v>-1411.0190476190473</v>
      </c>
      <c r="D33" s="139">
        <f t="shared" ref="D33" si="18">SUM(D29:D32)</f>
        <v>5808.9809523809527</v>
      </c>
      <c r="E33" s="151"/>
      <c r="F33" s="138">
        <f t="shared" ref="F33:J33" si="19">SUM(F29:F32)</f>
        <v>1632</v>
      </c>
      <c r="G33" s="139">
        <f t="shared" si="19"/>
        <v>7220</v>
      </c>
      <c r="H33" s="140">
        <f t="shared" si="19"/>
        <v>6016.6666666666661</v>
      </c>
      <c r="I33" s="140">
        <f t="shared" si="19"/>
        <v>5933.76</v>
      </c>
      <c r="J33" s="140">
        <f t="shared" si="19"/>
        <v>82.906666666667206</v>
      </c>
      <c r="K33" s="151"/>
      <c r="L33" s="139">
        <f>SUM(L29:L32)</f>
        <v>5588</v>
      </c>
      <c r="M33" s="140">
        <f t="shared" ref="M33:O33" si="20">SUM(M29:M32)</f>
        <v>4656.6666666666661</v>
      </c>
      <c r="N33" s="140">
        <f t="shared" si="20"/>
        <v>4397.1499999999996</v>
      </c>
      <c r="O33" s="140">
        <f t="shared" si="20"/>
        <v>259.51666666666654</v>
      </c>
      <c r="Q33" s="169">
        <f>SUM(C33:P33)</f>
        <v>40184.628571428577</v>
      </c>
      <c r="R33" s="170" t="s">
        <v>173</v>
      </c>
    </row>
    <row r="35" spans="1:18" x14ac:dyDescent="0.25">
      <c r="A35" s="5" t="s">
        <v>164</v>
      </c>
      <c r="B35" s="5"/>
      <c r="C35" s="110">
        <f>Summary!$C$26</f>
        <v>2.4E-2</v>
      </c>
    </row>
  </sheetData>
  <sheetProtection algorithmName="SHA-512" hashValue="NCPxpgx51td/7tJEVo/BRn71F68uQOrk+83QsHH+yv9mEN2ijFLPRTzdkUn0GZl1/GUX/qaNgqpfgZ39ZgsKwA==" saltValue="oiLJWrRzrzWKSXRlRhtTiQ==" spinCount="100000" sheet="1" objects="1" scenarios="1"/>
  <mergeCells count="10">
    <mergeCell ref="C4:D4"/>
    <mergeCell ref="G4:J4"/>
    <mergeCell ref="L4:O4"/>
    <mergeCell ref="C5:C6"/>
    <mergeCell ref="D5:D6"/>
    <mergeCell ref="F5:F6"/>
    <mergeCell ref="G5:H5"/>
    <mergeCell ref="L5:M5"/>
    <mergeCell ref="H6:J6"/>
    <mergeCell ref="M6:O6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89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W45"/>
  <sheetViews>
    <sheetView showGridLines="0" zoomScale="80" zoomScaleNormal="80" workbookViewId="0"/>
  </sheetViews>
  <sheetFormatPr defaultColWidth="9.140625" defaultRowHeight="15" x14ac:dyDescent="0.25"/>
  <cols>
    <col min="1" max="1" width="40.7109375" style="41" customWidth="1"/>
    <col min="2" max="2" width="2.7109375" style="41" customWidth="1"/>
    <col min="3" max="4" width="11.7109375" style="41" customWidth="1"/>
    <col min="5" max="5" width="2.7109375" style="41" customWidth="1"/>
    <col min="6" max="10" width="11.7109375" style="41" customWidth="1"/>
    <col min="11" max="11" width="2.7109375" style="41" customWidth="1"/>
    <col min="12" max="15" width="11.7109375" style="41" customWidth="1"/>
    <col min="16" max="16" width="2.7109375" style="41" customWidth="1"/>
    <col min="17" max="16384" width="9.140625" style="41"/>
  </cols>
  <sheetData>
    <row r="1" spans="1:18" ht="21" x14ac:dyDescent="0.25">
      <c r="A1" s="63" t="s">
        <v>124</v>
      </c>
      <c r="B1" s="161"/>
      <c r="C1" s="66" t="s">
        <v>166</v>
      </c>
      <c r="D1" s="65"/>
      <c r="E1" s="65"/>
      <c r="F1" s="65"/>
      <c r="G1" s="66" t="s">
        <v>231</v>
      </c>
      <c r="H1" s="5"/>
      <c r="I1" s="203">
        <v>32</v>
      </c>
      <c r="J1" s="5"/>
      <c r="K1" s="5"/>
      <c r="L1" s="5"/>
      <c r="M1" s="5"/>
      <c r="N1" s="5"/>
      <c r="O1" s="5"/>
      <c r="P1" s="5"/>
      <c r="Q1" s="5"/>
    </row>
    <row r="2" spans="1:18" x14ac:dyDescent="0.25">
      <c r="A2" s="64"/>
      <c r="B2" s="64"/>
      <c r="C2" s="64"/>
      <c r="D2" s="65"/>
      <c r="E2" s="65"/>
      <c r="F2" s="65"/>
      <c r="G2" s="64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8" ht="21" x14ac:dyDescent="0.25">
      <c r="A3" s="66" t="s">
        <v>239</v>
      </c>
      <c r="B3" s="65"/>
      <c r="C3" s="65"/>
      <c r="D3" s="65"/>
      <c r="E3" s="65"/>
      <c r="F3" s="65"/>
      <c r="G3" s="64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ht="21" x14ac:dyDescent="0.25">
      <c r="A4" s="21"/>
      <c r="B4" s="21"/>
      <c r="C4" s="313">
        <v>2019</v>
      </c>
      <c r="D4" s="313"/>
      <c r="E4" s="22"/>
      <c r="F4" s="21"/>
      <c r="G4" s="313">
        <v>2018</v>
      </c>
      <c r="H4" s="314"/>
      <c r="I4" s="314"/>
      <c r="J4" s="314"/>
      <c r="K4" s="21"/>
      <c r="L4" s="313">
        <v>2017</v>
      </c>
      <c r="M4" s="313"/>
      <c r="N4" s="313"/>
      <c r="O4" s="313"/>
      <c r="P4" s="22"/>
      <c r="Q4" s="23" t="s">
        <v>98</v>
      </c>
    </row>
    <row r="5" spans="1:18" x14ac:dyDescent="0.25">
      <c r="A5" s="31"/>
      <c r="B5" s="31"/>
      <c r="C5" s="315" t="s">
        <v>163</v>
      </c>
      <c r="D5" s="317" t="s">
        <v>44</v>
      </c>
      <c r="E5" s="31"/>
      <c r="F5" s="315" t="s">
        <v>162</v>
      </c>
      <c r="G5" s="321" t="s">
        <v>161</v>
      </c>
      <c r="H5" s="321"/>
      <c r="I5" s="32" t="s">
        <v>117</v>
      </c>
      <c r="J5" s="32" t="s">
        <v>97</v>
      </c>
      <c r="K5" s="31"/>
      <c r="L5" s="321" t="s">
        <v>161</v>
      </c>
      <c r="M5" s="330"/>
      <c r="N5" s="32" t="s">
        <v>117</v>
      </c>
      <c r="O5" s="32" t="s">
        <v>97</v>
      </c>
      <c r="P5" s="32"/>
      <c r="Q5" s="33"/>
    </row>
    <row r="6" spans="1:18" x14ac:dyDescent="0.25">
      <c r="A6" s="31"/>
      <c r="B6" s="31"/>
      <c r="C6" s="316"/>
      <c r="D6" s="318"/>
      <c r="E6" s="31"/>
      <c r="F6" s="319"/>
      <c r="G6" s="34" t="s">
        <v>159</v>
      </c>
      <c r="H6" s="321" t="s">
        <v>160</v>
      </c>
      <c r="I6" s="310"/>
      <c r="J6" s="310"/>
      <c r="K6" s="31"/>
      <c r="L6" s="34" t="s">
        <v>159</v>
      </c>
      <c r="M6" s="321" t="s">
        <v>160</v>
      </c>
      <c r="N6" s="310"/>
      <c r="O6" s="310"/>
      <c r="P6" s="32"/>
      <c r="Q6" s="33"/>
    </row>
    <row r="7" spans="1:18" x14ac:dyDescent="0.25">
      <c r="A7" s="88" t="s">
        <v>20</v>
      </c>
      <c r="B7" s="88"/>
      <c r="C7" s="89"/>
      <c r="D7" s="90"/>
      <c r="E7" s="91"/>
      <c r="F7" s="89"/>
      <c r="G7" s="90"/>
      <c r="H7" s="91"/>
      <c r="I7" s="91"/>
      <c r="J7" s="91"/>
      <c r="K7" s="91"/>
      <c r="L7" s="90"/>
      <c r="M7" s="91"/>
      <c r="N7" s="91"/>
      <c r="O7" s="91"/>
      <c r="P7" s="5"/>
      <c r="Q7" s="5"/>
    </row>
    <row r="8" spans="1:18" x14ac:dyDescent="0.25">
      <c r="A8" s="93" t="s">
        <v>21</v>
      </c>
      <c r="B8" s="93"/>
      <c r="C8" s="94">
        <f>D8-G8</f>
        <v>124</v>
      </c>
      <c r="D8" s="95">
        <v>1524</v>
      </c>
      <c r="E8" s="91"/>
      <c r="F8" s="89">
        <f>G8-L8</f>
        <v>30</v>
      </c>
      <c r="G8" s="95">
        <v>1400</v>
      </c>
      <c r="H8" s="96">
        <f>G8/12*10</f>
        <v>1166.6666666666667</v>
      </c>
      <c r="I8" s="96">
        <v>960</v>
      </c>
      <c r="J8" s="96">
        <f>H8-I8</f>
        <v>206.66666666666674</v>
      </c>
      <c r="K8" s="91"/>
      <c r="L8" s="90">
        <v>1370</v>
      </c>
      <c r="M8" s="96">
        <f>L8/12*10</f>
        <v>1141.6666666666667</v>
      </c>
      <c r="N8" s="91">
        <v>1076.3699999999999</v>
      </c>
      <c r="O8" s="91">
        <f>M8-N8</f>
        <v>65.296666666666852</v>
      </c>
      <c r="P8" s="15"/>
      <c r="Q8" s="85"/>
    </row>
    <row r="9" spans="1:18" x14ac:dyDescent="0.25">
      <c r="A9" s="93" t="s">
        <v>14</v>
      </c>
      <c r="B9" s="93" t="s">
        <v>165</v>
      </c>
      <c r="C9" s="94">
        <f>D9-G9</f>
        <v>12</v>
      </c>
      <c r="D9" s="95">
        <f>G9+(G9*$C$43)</f>
        <v>512</v>
      </c>
      <c r="E9" s="91"/>
      <c r="F9" s="89">
        <f t="shared" ref="F9:F11" si="0">G9-L9</f>
        <v>0</v>
      </c>
      <c r="G9" s="95">
        <v>500</v>
      </c>
      <c r="H9" s="96">
        <f>G9/12*10</f>
        <v>416.66666666666663</v>
      </c>
      <c r="I9" s="96">
        <v>450</v>
      </c>
      <c r="J9" s="96">
        <f>H9-I9</f>
        <v>-33.333333333333371</v>
      </c>
      <c r="K9" s="91"/>
      <c r="L9" s="90">
        <v>500</v>
      </c>
      <c r="M9" s="96">
        <f>L9/12*10</f>
        <v>416.66666666666663</v>
      </c>
      <c r="N9" s="91">
        <v>450</v>
      </c>
      <c r="O9" s="91">
        <f>M9-N9</f>
        <v>-33.333333333333371</v>
      </c>
      <c r="P9" s="15"/>
      <c r="Q9" s="85"/>
      <c r="R9" s="27"/>
    </row>
    <row r="10" spans="1:18" x14ac:dyDescent="0.25">
      <c r="A10" s="93" t="s">
        <v>15</v>
      </c>
      <c r="B10" s="93" t="s">
        <v>165</v>
      </c>
      <c r="C10" s="94">
        <f>D10-G10</f>
        <v>48</v>
      </c>
      <c r="D10" s="95">
        <f>G10+(G10*$C$43)</f>
        <v>2048</v>
      </c>
      <c r="E10" s="91"/>
      <c r="F10" s="89">
        <f t="shared" si="0"/>
        <v>0</v>
      </c>
      <c r="G10" s="95">
        <v>2000</v>
      </c>
      <c r="H10" s="96">
        <f>G10/12*10</f>
        <v>1666.6666666666665</v>
      </c>
      <c r="I10" s="96">
        <v>2432.3200000000002</v>
      </c>
      <c r="J10" s="96">
        <f>H10-I10</f>
        <v>-765.65333333333365</v>
      </c>
      <c r="K10" s="91"/>
      <c r="L10" s="90">
        <v>2000</v>
      </c>
      <c r="M10" s="96">
        <f>L10/12*10</f>
        <v>1666.6666666666665</v>
      </c>
      <c r="N10" s="91">
        <v>1570.93</v>
      </c>
      <c r="O10" s="91">
        <f>M10-N10</f>
        <v>95.736666666666451</v>
      </c>
      <c r="P10" s="15"/>
      <c r="Q10" s="46"/>
    </row>
    <row r="11" spans="1:18" x14ac:dyDescent="0.25">
      <c r="A11" s="93" t="s">
        <v>153</v>
      </c>
      <c r="B11" s="93"/>
      <c r="C11" s="94">
        <f>D11-G11</f>
        <v>672</v>
      </c>
      <c r="D11" s="95">
        <f>(280+280)*1.2</f>
        <v>672</v>
      </c>
      <c r="E11" s="91"/>
      <c r="F11" s="89">
        <f t="shared" si="0"/>
        <v>0</v>
      </c>
      <c r="G11" s="95">
        <v>0</v>
      </c>
      <c r="H11" s="96">
        <f>G11/12*10</f>
        <v>0</v>
      </c>
      <c r="I11" s="96">
        <v>0</v>
      </c>
      <c r="J11" s="96">
        <f>H11-I11</f>
        <v>0</v>
      </c>
      <c r="K11" s="91"/>
      <c r="L11" s="90">
        <v>0</v>
      </c>
      <c r="M11" s="96">
        <f>L11/12*10</f>
        <v>0</v>
      </c>
      <c r="N11" s="91">
        <v>0</v>
      </c>
      <c r="O11" s="91">
        <f>M11-N11</f>
        <v>0</v>
      </c>
      <c r="P11" s="15"/>
      <c r="Q11" s="5"/>
      <c r="R11" s="27"/>
    </row>
    <row r="12" spans="1:18" x14ac:dyDescent="0.25">
      <c r="A12" s="93"/>
      <c r="B12" s="93"/>
      <c r="C12" s="94"/>
      <c r="D12" s="95"/>
      <c r="E12" s="91"/>
      <c r="F12" s="89"/>
      <c r="G12" s="95"/>
      <c r="H12" s="96"/>
      <c r="I12" s="96"/>
      <c r="J12" s="96"/>
      <c r="K12" s="91"/>
      <c r="L12" s="90"/>
      <c r="M12" s="91"/>
      <c r="N12" s="91"/>
      <c r="O12" s="91"/>
      <c r="P12" s="15"/>
      <c r="Q12" s="5"/>
    </row>
    <row r="13" spans="1:18" s="142" customFormat="1" ht="15.75" thickBot="1" x14ac:dyDescent="0.3">
      <c r="A13" s="148" t="s">
        <v>169</v>
      </c>
      <c r="B13" s="88"/>
      <c r="C13" s="98">
        <f>SUM(C7:C12)</f>
        <v>856</v>
      </c>
      <c r="D13" s="99">
        <f>SUM(D7:D12)</f>
        <v>4756</v>
      </c>
      <c r="E13" s="100"/>
      <c r="F13" s="98">
        <f t="shared" ref="F13:J13" si="1">SUM(F7:F12)</f>
        <v>30</v>
      </c>
      <c r="G13" s="99">
        <f t="shared" si="1"/>
        <v>3900</v>
      </c>
      <c r="H13" s="101">
        <f t="shared" si="1"/>
        <v>3250</v>
      </c>
      <c r="I13" s="101">
        <f t="shared" si="1"/>
        <v>3842.32</v>
      </c>
      <c r="J13" s="101">
        <f t="shared" si="1"/>
        <v>-592.32000000000028</v>
      </c>
      <c r="K13" s="100"/>
      <c r="L13" s="102">
        <f t="shared" ref="L13:O13" si="2">SUM(L7:L12)</f>
        <v>3870</v>
      </c>
      <c r="M13" s="101">
        <f t="shared" si="2"/>
        <v>3225</v>
      </c>
      <c r="N13" s="101">
        <f t="shared" si="2"/>
        <v>3097.3</v>
      </c>
      <c r="O13" s="101">
        <f t="shared" si="2"/>
        <v>127.69999999999993</v>
      </c>
      <c r="P13" s="17"/>
      <c r="Q13" s="16"/>
    </row>
    <row r="14" spans="1:18" x14ac:dyDescent="0.25">
      <c r="C14" s="125"/>
      <c r="D14" s="126"/>
      <c r="E14" s="127"/>
      <c r="F14" s="125"/>
      <c r="G14" s="126"/>
      <c r="H14" s="127"/>
      <c r="I14" s="127"/>
      <c r="J14" s="127"/>
      <c r="K14" s="127"/>
      <c r="L14" s="126"/>
      <c r="M14" s="127"/>
      <c r="N14" s="127"/>
      <c r="O14" s="127"/>
    </row>
    <row r="15" spans="1:18" x14ac:dyDescent="0.25">
      <c r="A15" s="59" t="s">
        <v>23</v>
      </c>
      <c r="C15" s="125"/>
      <c r="D15" s="126"/>
      <c r="E15" s="127"/>
      <c r="F15" s="125"/>
      <c r="G15" s="126"/>
      <c r="H15" s="127"/>
      <c r="I15" s="127"/>
      <c r="J15" s="127"/>
      <c r="K15" s="127"/>
      <c r="L15" s="126"/>
      <c r="M15" s="127"/>
      <c r="N15" s="127"/>
      <c r="O15" s="127"/>
    </row>
    <row r="16" spans="1:18" x14ac:dyDescent="0.25">
      <c r="A16" s="60" t="s">
        <v>22</v>
      </c>
      <c r="B16" s="93" t="s">
        <v>165</v>
      </c>
      <c r="C16" s="94">
        <f t="shared" ref="C16:C24" si="3">D16-G16</f>
        <v>36</v>
      </c>
      <c r="D16" s="95">
        <f t="shared" ref="D16:D20" si="4">G16+(G16*$C$43)</f>
        <v>1536</v>
      </c>
      <c r="E16" s="127"/>
      <c r="F16" s="89">
        <f t="shared" ref="F16:F24" si="5">G16-L16</f>
        <v>0</v>
      </c>
      <c r="G16" s="126">
        <v>1500</v>
      </c>
      <c r="H16" s="96">
        <f t="shared" ref="H16:H24" si="6">G16/12*10</f>
        <v>1250</v>
      </c>
      <c r="I16" s="96">
        <v>3069.79</v>
      </c>
      <c r="J16" s="96">
        <f t="shared" ref="J16:J24" si="7">H16-I16</f>
        <v>-1819.79</v>
      </c>
      <c r="K16" s="127"/>
      <c r="L16" s="126">
        <v>1500</v>
      </c>
      <c r="M16" s="96">
        <f t="shared" ref="M16:M24" si="8">L16/12*10</f>
        <v>1250</v>
      </c>
      <c r="N16" s="127">
        <v>1734.6</v>
      </c>
      <c r="O16" s="91">
        <f t="shared" ref="O16:O24" si="9">M16-N16</f>
        <v>-484.59999999999991</v>
      </c>
      <c r="Q16" s="46" t="s">
        <v>270</v>
      </c>
    </row>
    <row r="17" spans="1:23" x14ac:dyDescent="0.25">
      <c r="A17" s="60" t="s">
        <v>16</v>
      </c>
      <c r="B17" s="93" t="s">
        <v>165</v>
      </c>
      <c r="C17" s="94">
        <f t="shared" si="3"/>
        <v>3.5999999999999943</v>
      </c>
      <c r="D17" s="95">
        <f t="shared" si="4"/>
        <v>153.6</v>
      </c>
      <c r="E17" s="127"/>
      <c r="F17" s="89">
        <f t="shared" si="5"/>
        <v>0</v>
      </c>
      <c r="G17" s="126">
        <v>150</v>
      </c>
      <c r="H17" s="96">
        <f t="shared" si="6"/>
        <v>125</v>
      </c>
      <c r="I17" s="96">
        <v>23.88</v>
      </c>
      <c r="J17" s="96">
        <f t="shared" si="7"/>
        <v>101.12</v>
      </c>
      <c r="K17" s="127"/>
      <c r="L17" s="126">
        <v>150</v>
      </c>
      <c r="M17" s="96">
        <f t="shared" si="8"/>
        <v>125</v>
      </c>
      <c r="N17" s="127">
        <v>118.97</v>
      </c>
      <c r="O17" s="91">
        <f t="shared" si="9"/>
        <v>6.0300000000000011</v>
      </c>
    </row>
    <row r="18" spans="1:23" x14ac:dyDescent="0.25">
      <c r="A18" s="60" t="s">
        <v>24</v>
      </c>
      <c r="B18" s="93" t="s">
        <v>165</v>
      </c>
      <c r="C18" s="94">
        <f t="shared" si="3"/>
        <v>1.2000000000000028</v>
      </c>
      <c r="D18" s="95">
        <f t="shared" si="4"/>
        <v>51.2</v>
      </c>
      <c r="E18" s="127"/>
      <c r="F18" s="89">
        <f t="shared" si="5"/>
        <v>0</v>
      </c>
      <c r="G18" s="126">
        <v>50</v>
      </c>
      <c r="H18" s="96">
        <f t="shared" si="6"/>
        <v>41.666666666666671</v>
      </c>
      <c r="I18" s="96">
        <v>60</v>
      </c>
      <c r="J18" s="96">
        <f t="shared" si="7"/>
        <v>-18.333333333333329</v>
      </c>
      <c r="K18" s="127"/>
      <c r="L18" s="126">
        <v>50</v>
      </c>
      <c r="M18" s="96">
        <f t="shared" si="8"/>
        <v>41.666666666666671</v>
      </c>
      <c r="N18" s="127">
        <v>219</v>
      </c>
      <c r="O18" s="91">
        <f t="shared" si="9"/>
        <v>-177.33333333333331</v>
      </c>
    </row>
    <row r="19" spans="1:23" x14ac:dyDescent="0.25">
      <c r="A19" s="60" t="s">
        <v>25</v>
      </c>
      <c r="B19" s="93" t="s">
        <v>165</v>
      </c>
      <c r="C19" s="94">
        <f t="shared" si="3"/>
        <v>4.8000000000000114</v>
      </c>
      <c r="D19" s="95">
        <f t="shared" si="4"/>
        <v>204.8</v>
      </c>
      <c r="E19" s="127"/>
      <c r="F19" s="89">
        <f t="shared" si="5"/>
        <v>0</v>
      </c>
      <c r="G19" s="126">
        <v>200</v>
      </c>
      <c r="H19" s="96">
        <f t="shared" si="6"/>
        <v>166.66666666666669</v>
      </c>
      <c r="I19" s="96">
        <v>111.8</v>
      </c>
      <c r="J19" s="96">
        <f t="shared" si="7"/>
        <v>54.866666666666688</v>
      </c>
      <c r="K19" s="127"/>
      <c r="L19" s="126">
        <v>200</v>
      </c>
      <c r="M19" s="96">
        <f t="shared" si="8"/>
        <v>166.66666666666669</v>
      </c>
      <c r="N19" s="127">
        <v>98</v>
      </c>
      <c r="O19" s="91">
        <f t="shared" si="9"/>
        <v>68.666666666666686</v>
      </c>
      <c r="Q19" s="46"/>
    </row>
    <row r="20" spans="1:23" x14ac:dyDescent="0.25">
      <c r="A20" s="60" t="s">
        <v>12</v>
      </c>
      <c r="B20" s="93" t="s">
        <v>165</v>
      </c>
      <c r="C20" s="94">
        <f t="shared" si="3"/>
        <v>2.4000000000000057</v>
      </c>
      <c r="D20" s="95">
        <f t="shared" si="4"/>
        <v>102.4</v>
      </c>
      <c r="E20" s="127"/>
      <c r="F20" s="89">
        <f t="shared" si="5"/>
        <v>47</v>
      </c>
      <c r="G20" s="126">
        <v>100</v>
      </c>
      <c r="H20" s="96">
        <f t="shared" si="6"/>
        <v>83.333333333333343</v>
      </c>
      <c r="I20" s="96">
        <v>90</v>
      </c>
      <c r="J20" s="96">
        <f t="shared" si="7"/>
        <v>-6.6666666666666572</v>
      </c>
      <c r="K20" s="127"/>
      <c r="L20" s="126">
        <v>53</v>
      </c>
      <c r="M20" s="96">
        <f t="shared" si="8"/>
        <v>44.166666666666671</v>
      </c>
      <c r="N20" s="127">
        <v>214</v>
      </c>
      <c r="O20" s="91">
        <f t="shared" si="9"/>
        <v>-169.83333333333331</v>
      </c>
      <c r="Q20" s="46"/>
    </row>
    <row r="21" spans="1:23" x14ac:dyDescent="0.25">
      <c r="A21" s="60" t="s">
        <v>132</v>
      </c>
      <c r="C21" s="94">
        <f t="shared" si="3"/>
        <v>0</v>
      </c>
      <c r="D21" s="126">
        <v>0</v>
      </c>
      <c r="E21" s="127"/>
      <c r="F21" s="89">
        <f t="shared" si="5"/>
        <v>0</v>
      </c>
      <c r="G21" s="126">
        <v>0</v>
      </c>
      <c r="H21" s="96">
        <f t="shared" si="6"/>
        <v>0</v>
      </c>
      <c r="I21" s="96">
        <v>0</v>
      </c>
      <c r="J21" s="96">
        <f t="shared" si="7"/>
        <v>0</v>
      </c>
      <c r="K21" s="127"/>
      <c r="L21" s="126">
        <v>0</v>
      </c>
      <c r="M21" s="96">
        <f t="shared" si="8"/>
        <v>0</v>
      </c>
      <c r="N21" s="127">
        <v>1158</v>
      </c>
      <c r="O21" s="91">
        <f t="shared" si="9"/>
        <v>-1158</v>
      </c>
      <c r="Q21" s="46"/>
    </row>
    <row r="22" spans="1:23" x14ac:dyDescent="0.25">
      <c r="A22" s="60" t="s">
        <v>123</v>
      </c>
      <c r="C22" s="94">
        <f t="shared" si="3"/>
        <v>0</v>
      </c>
      <c r="D22" s="126">
        <v>0</v>
      </c>
      <c r="E22" s="127"/>
      <c r="F22" s="89">
        <f t="shared" si="5"/>
        <v>0</v>
      </c>
      <c r="G22" s="126">
        <v>0</v>
      </c>
      <c r="H22" s="96">
        <f t="shared" si="6"/>
        <v>0</v>
      </c>
      <c r="I22" s="96">
        <v>0</v>
      </c>
      <c r="J22" s="96">
        <f t="shared" si="7"/>
        <v>0</v>
      </c>
      <c r="K22" s="127"/>
      <c r="L22" s="126">
        <v>0</v>
      </c>
      <c r="M22" s="96">
        <f t="shared" si="8"/>
        <v>0</v>
      </c>
      <c r="N22" s="127">
        <v>1333</v>
      </c>
      <c r="O22" s="91">
        <f t="shared" si="9"/>
        <v>-1333</v>
      </c>
    </row>
    <row r="23" spans="1:23" x14ac:dyDescent="0.25">
      <c r="A23" s="60" t="s">
        <v>127</v>
      </c>
      <c r="C23" s="94">
        <f t="shared" si="3"/>
        <v>0</v>
      </c>
      <c r="D23" s="126">
        <v>0</v>
      </c>
      <c r="E23" s="127"/>
      <c r="F23" s="89">
        <f t="shared" si="5"/>
        <v>0</v>
      </c>
      <c r="G23" s="126">
        <v>0</v>
      </c>
      <c r="H23" s="96">
        <f t="shared" si="6"/>
        <v>0</v>
      </c>
      <c r="I23" s="96">
        <v>187.2</v>
      </c>
      <c r="J23" s="96">
        <f t="shared" si="7"/>
        <v>-187.2</v>
      </c>
      <c r="K23" s="127"/>
      <c r="L23" s="126">
        <v>0</v>
      </c>
      <c r="M23" s="96">
        <f t="shared" si="8"/>
        <v>0</v>
      </c>
      <c r="N23" s="127">
        <v>0</v>
      </c>
      <c r="O23" s="91">
        <f t="shared" si="9"/>
        <v>0</v>
      </c>
      <c r="Q23" s="280" t="s">
        <v>265</v>
      </c>
    </row>
    <row r="24" spans="1:23" x14ac:dyDescent="0.25">
      <c r="A24" s="60" t="s">
        <v>154</v>
      </c>
      <c r="C24" s="94">
        <f t="shared" si="3"/>
        <v>225.33333333333334</v>
      </c>
      <c r="D24" s="126">
        <f>Reserves!W15</f>
        <v>225.33333333333334</v>
      </c>
      <c r="E24" s="127"/>
      <c r="F24" s="89">
        <f t="shared" si="5"/>
        <v>0</v>
      </c>
      <c r="G24" s="126">
        <v>0</v>
      </c>
      <c r="H24" s="96">
        <f t="shared" si="6"/>
        <v>0</v>
      </c>
      <c r="I24" s="96">
        <v>0</v>
      </c>
      <c r="J24" s="96">
        <f t="shared" si="7"/>
        <v>0</v>
      </c>
      <c r="K24" s="127"/>
      <c r="L24" s="126">
        <v>0</v>
      </c>
      <c r="M24" s="96">
        <f t="shared" si="8"/>
        <v>0</v>
      </c>
      <c r="N24" s="127">
        <v>0</v>
      </c>
      <c r="O24" s="91">
        <f t="shared" si="9"/>
        <v>0</v>
      </c>
      <c r="Q24" s="46"/>
    </row>
    <row r="25" spans="1:23" x14ac:dyDescent="0.25">
      <c r="A25" s="60"/>
      <c r="C25" s="94"/>
      <c r="D25" s="126"/>
      <c r="E25" s="127"/>
      <c r="F25" s="125"/>
      <c r="G25" s="126"/>
      <c r="H25" s="96"/>
      <c r="I25" s="96"/>
      <c r="J25" s="96"/>
      <c r="K25" s="127"/>
      <c r="L25" s="126"/>
      <c r="M25" s="127"/>
      <c r="N25" s="127"/>
      <c r="O25" s="127"/>
      <c r="Q25" s="46"/>
    </row>
    <row r="26" spans="1:23" s="142" customFormat="1" ht="15.75" thickBot="1" x14ac:dyDescent="0.3">
      <c r="A26" s="148" t="s">
        <v>170</v>
      </c>
      <c r="C26" s="149">
        <f t="shared" ref="C26:D26" si="10">SUM(C15:C25)</f>
        <v>273.33333333333337</v>
      </c>
      <c r="D26" s="150">
        <f t="shared" si="10"/>
        <v>2273.3333333333335</v>
      </c>
      <c r="E26" s="151"/>
      <c r="F26" s="149">
        <f t="shared" ref="F26:J26" si="11">SUM(F15:F25)</f>
        <v>47</v>
      </c>
      <c r="G26" s="150">
        <f t="shared" si="11"/>
        <v>2000</v>
      </c>
      <c r="H26" s="148">
        <f t="shared" si="11"/>
        <v>1666.6666666666667</v>
      </c>
      <c r="I26" s="148">
        <f t="shared" si="11"/>
        <v>3542.67</v>
      </c>
      <c r="J26" s="148">
        <f t="shared" si="11"/>
        <v>-1876.0033333333333</v>
      </c>
      <c r="K26" s="151"/>
      <c r="L26" s="150">
        <f>SUM(L15:L25)</f>
        <v>1953</v>
      </c>
      <c r="M26" s="148">
        <f t="shared" ref="M26:O26" si="12">SUM(M15:M25)</f>
        <v>1627.5000000000002</v>
      </c>
      <c r="N26" s="148">
        <f t="shared" si="12"/>
        <v>4875.57</v>
      </c>
      <c r="O26" s="148">
        <f t="shared" si="12"/>
        <v>-3248.0699999999997</v>
      </c>
      <c r="Q26" s="54"/>
    </row>
    <row r="27" spans="1:23" x14ac:dyDescent="0.25">
      <c r="A27" s="160"/>
      <c r="C27" s="125"/>
      <c r="D27" s="134"/>
      <c r="E27" s="127"/>
      <c r="F27" s="125"/>
      <c r="G27" s="134"/>
      <c r="H27" s="127"/>
      <c r="I27" s="127"/>
      <c r="J27" s="127"/>
      <c r="K27" s="127"/>
      <c r="L27" s="134"/>
      <c r="M27" s="127"/>
      <c r="N27" s="135"/>
      <c r="O27" s="127"/>
      <c r="Q27" s="46"/>
    </row>
    <row r="28" spans="1:23" x14ac:dyDescent="0.25">
      <c r="A28" s="59" t="s">
        <v>26</v>
      </c>
      <c r="C28" s="125"/>
      <c r="D28" s="126"/>
      <c r="E28" s="127"/>
      <c r="F28" s="125"/>
      <c r="G28" s="126"/>
      <c r="H28" s="127"/>
      <c r="I28" s="127"/>
      <c r="J28" s="127"/>
      <c r="K28" s="127"/>
      <c r="L28" s="126"/>
      <c r="M28" s="127"/>
      <c r="N28" s="127"/>
      <c r="O28" s="127"/>
      <c r="Q28" s="46"/>
    </row>
    <row r="29" spans="1:23" x14ac:dyDescent="0.25">
      <c r="A29" s="60" t="s">
        <v>18</v>
      </c>
      <c r="C29" s="94">
        <f t="shared" ref="C29:C31" si="13">D29-G29</f>
        <v>518.30000000000018</v>
      </c>
      <c r="D29" s="126">
        <v>2800</v>
      </c>
      <c r="E29" s="127"/>
      <c r="F29" s="89">
        <f t="shared" ref="F29:F31" si="14">G29-L29</f>
        <v>281.69999999999982</v>
      </c>
      <c r="G29" s="126">
        <v>2281.6999999999998</v>
      </c>
      <c r="H29" s="96">
        <f t="shared" ref="H29:H31" si="15">G29/12*10</f>
        <v>1901.4166666666665</v>
      </c>
      <c r="I29" s="127">
        <v>2147.06</v>
      </c>
      <c r="J29" s="96">
        <f t="shared" ref="J29:J31" si="16">H29-I29</f>
        <v>-245.64333333333343</v>
      </c>
      <c r="K29" s="127"/>
      <c r="L29" s="126">
        <v>2000</v>
      </c>
      <c r="M29" s="96">
        <f t="shared" ref="M29:M31" si="17">L29/12*10</f>
        <v>1666.6666666666665</v>
      </c>
      <c r="N29" s="127">
        <v>2368.88</v>
      </c>
      <c r="O29" s="91">
        <f t="shared" ref="O29:O31" si="18">M29-N29</f>
        <v>-702.21333333333359</v>
      </c>
      <c r="Q29" s="46" t="s">
        <v>269</v>
      </c>
      <c r="W29" s="58"/>
    </row>
    <row r="30" spans="1:23" x14ac:dyDescent="0.25">
      <c r="A30" s="60" t="s">
        <v>96</v>
      </c>
      <c r="C30" s="94">
        <f t="shared" si="13"/>
        <v>70.260712945591081</v>
      </c>
      <c r="D30" s="126">
        <f>Insurance!F21</f>
        <v>750.26071294559108</v>
      </c>
      <c r="E30" s="127"/>
      <c r="F30" s="89">
        <f t="shared" si="14"/>
        <v>74</v>
      </c>
      <c r="G30" s="126">
        <v>680</v>
      </c>
      <c r="H30" s="96">
        <f t="shared" si="15"/>
        <v>566.66666666666663</v>
      </c>
      <c r="I30" s="127">
        <v>0</v>
      </c>
      <c r="J30" s="96">
        <f t="shared" si="16"/>
        <v>566.66666666666663</v>
      </c>
      <c r="K30" s="127"/>
      <c r="L30" s="126">
        <v>606</v>
      </c>
      <c r="M30" s="96">
        <f t="shared" si="17"/>
        <v>505</v>
      </c>
      <c r="N30" s="127">
        <v>710.9</v>
      </c>
      <c r="O30" s="91">
        <f t="shared" si="18"/>
        <v>-205.89999999999998</v>
      </c>
      <c r="Q30" s="85" t="s">
        <v>211</v>
      </c>
    </row>
    <row r="31" spans="1:23" x14ac:dyDescent="0.25">
      <c r="A31" s="60" t="s">
        <v>43</v>
      </c>
      <c r="C31" s="94">
        <f t="shared" si="13"/>
        <v>38.300000000000011</v>
      </c>
      <c r="D31" s="126">
        <v>450</v>
      </c>
      <c r="E31" s="127"/>
      <c r="F31" s="89">
        <f t="shared" si="14"/>
        <v>11.699999999999989</v>
      </c>
      <c r="G31" s="126">
        <v>411.7</v>
      </c>
      <c r="H31" s="96">
        <f t="shared" si="15"/>
        <v>343.08333333333331</v>
      </c>
      <c r="I31" s="127">
        <v>446.38</v>
      </c>
      <c r="J31" s="96">
        <f t="shared" si="16"/>
        <v>-103.29666666666668</v>
      </c>
      <c r="K31" s="127"/>
      <c r="L31" s="126">
        <v>400</v>
      </c>
      <c r="M31" s="96">
        <f t="shared" si="17"/>
        <v>333.33333333333337</v>
      </c>
      <c r="N31" s="127">
        <v>446.83</v>
      </c>
      <c r="O31" s="91">
        <f t="shared" si="18"/>
        <v>-113.49666666666661</v>
      </c>
    </row>
    <row r="32" spans="1:23" x14ac:dyDescent="0.25">
      <c r="A32" s="60"/>
      <c r="C32" s="125"/>
      <c r="D32" s="126"/>
      <c r="E32" s="127"/>
      <c r="F32" s="125"/>
      <c r="G32" s="126"/>
      <c r="H32" s="127"/>
      <c r="I32" s="127"/>
      <c r="J32" s="127"/>
      <c r="K32" s="127"/>
      <c r="L32" s="126"/>
      <c r="M32" s="127"/>
      <c r="N32" s="127"/>
      <c r="O32" s="127"/>
      <c r="Q32" s="46"/>
    </row>
    <row r="33" spans="1:18" s="142" customFormat="1" ht="15.75" thickBot="1" x14ac:dyDescent="0.3">
      <c r="A33" s="148" t="s">
        <v>172</v>
      </c>
      <c r="C33" s="149">
        <f t="shared" ref="C33:D33" si="19">SUM(C28:C32)</f>
        <v>626.86071294559133</v>
      </c>
      <c r="D33" s="150">
        <f t="shared" si="19"/>
        <v>4000.260712945591</v>
      </c>
      <c r="E33" s="151"/>
      <c r="F33" s="149">
        <f t="shared" ref="F33:J33" si="20">SUM(F28:F32)</f>
        <v>367.39999999999981</v>
      </c>
      <c r="G33" s="150">
        <f t="shared" si="20"/>
        <v>3373.3999999999996</v>
      </c>
      <c r="H33" s="148">
        <f t="shared" si="20"/>
        <v>2811.1666666666665</v>
      </c>
      <c r="I33" s="148">
        <f t="shared" si="20"/>
        <v>2593.44</v>
      </c>
      <c r="J33" s="148">
        <f t="shared" si="20"/>
        <v>217.72666666666652</v>
      </c>
      <c r="K33" s="151"/>
      <c r="L33" s="150">
        <f>SUM(L28:L32)</f>
        <v>3006</v>
      </c>
      <c r="M33" s="148">
        <f t="shared" ref="M33:O33" si="21">SUM(M28:M32)</f>
        <v>2505</v>
      </c>
      <c r="N33" s="148">
        <f t="shared" si="21"/>
        <v>3526.61</v>
      </c>
      <c r="O33" s="148">
        <f t="shared" si="21"/>
        <v>-1021.6100000000001</v>
      </c>
      <c r="Q33" s="54"/>
    </row>
    <row r="34" spans="1:18" x14ac:dyDescent="0.25">
      <c r="A34" s="44"/>
      <c r="C34" s="125"/>
      <c r="D34" s="134"/>
      <c r="E34" s="127"/>
      <c r="F34" s="125"/>
      <c r="G34" s="134"/>
      <c r="H34" s="127"/>
      <c r="I34" s="127"/>
      <c r="J34" s="127"/>
      <c r="K34" s="127"/>
      <c r="L34" s="134"/>
      <c r="M34" s="127"/>
      <c r="N34" s="135"/>
      <c r="O34" s="127"/>
      <c r="Q34" s="46"/>
    </row>
    <row r="35" spans="1:18" x14ac:dyDescent="0.25">
      <c r="A35" s="60" t="s">
        <v>90</v>
      </c>
      <c r="C35" s="94">
        <f>D35-G35</f>
        <v>0</v>
      </c>
      <c r="D35" s="126">
        <v>1800</v>
      </c>
      <c r="E35" s="127"/>
      <c r="F35" s="89">
        <f t="shared" ref="F35" si="22">G35-L35</f>
        <v>0</v>
      </c>
      <c r="G35" s="126">
        <v>1800</v>
      </c>
      <c r="H35" s="96">
        <f t="shared" ref="H35" si="23">G35/12*10</f>
        <v>1500</v>
      </c>
      <c r="I35" s="127">
        <v>0</v>
      </c>
      <c r="J35" s="96">
        <f t="shared" ref="J35" si="24">H35-I35</f>
        <v>1500</v>
      </c>
      <c r="K35" s="127"/>
      <c r="L35" s="126">
        <v>1800</v>
      </c>
      <c r="M35" s="96">
        <f>L35/12*10</f>
        <v>1500</v>
      </c>
      <c r="N35" s="127">
        <v>0</v>
      </c>
      <c r="O35" s="91">
        <f>M35-N35</f>
        <v>1500</v>
      </c>
      <c r="Q35" s="46"/>
    </row>
    <row r="36" spans="1:18" x14ac:dyDescent="0.25">
      <c r="A36" s="60"/>
      <c r="C36" s="125"/>
      <c r="D36" s="126"/>
      <c r="E36" s="127"/>
      <c r="F36" s="125"/>
      <c r="G36" s="126"/>
      <c r="H36" s="127"/>
      <c r="I36" s="127"/>
      <c r="J36" s="127"/>
      <c r="K36" s="127"/>
      <c r="L36" s="126"/>
      <c r="M36" s="127"/>
      <c r="N36" s="127"/>
      <c r="O36" s="127"/>
      <c r="Q36" s="46"/>
    </row>
    <row r="37" spans="1:18" s="142" customFormat="1" ht="15.75" thickBot="1" x14ac:dyDescent="0.3">
      <c r="A37" s="148" t="s">
        <v>168</v>
      </c>
      <c r="C37" s="149">
        <f t="shared" ref="C37:D37" si="25">C13+C26+C33+C35</f>
        <v>1756.1940462789248</v>
      </c>
      <c r="D37" s="150">
        <f t="shared" si="25"/>
        <v>12829.594046278926</v>
      </c>
      <c r="E37" s="151"/>
      <c r="F37" s="149">
        <f t="shared" ref="F37:J37" si="26">F13+F26+F33+F35</f>
        <v>444.39999999999981</v>
      </c>
      <c r="G37" s="150">
        <f t="shared" si="26"/>
        <v>11073.4</v>
      </c>
      <c r="H37" s="148">
        <f t="shared" si="26"/>
        <v>9227.8333333333339</v>
      </c>
      <c r="I37" s="148">
        <f t="shared" si="26"/>
        <v>9978.43</v>
      </c>
      <c r="J37" s="148">
        <f t="shared" si="26"/>
        <v>-750.59666666666726</v>
      </c>
      <c r="K37" s="151"/>
      <c r="L37" s="150">
        <f>L13+L26+L33+L35</f>
        <v>10629</v>
      </c>
      <c r="M37" s="148">
        <f t="shared" ref="M37:O37" si="27">M13+M26+M33+M35</f>
        <v>8857.5</v>
      </c>
      <c r="N37" s="148">
        <f t="shared" si="27"/>
        <v>11499.48</v>
      </c>
      <c r="O37" s="148">
        <f t="shared" si="27"/>
        <v>-2641.9799999999996</v>
      </c>
      <c r="Q37" s="54"/>
    </row>
    <row r="38" spans="1:18" x14ac:dyDescent="0.25">
      <c r="C38" s="125"/>
      <c r="D38" s="134"/>
      <c r="E38" s="127"/>
      <c r="F38" s="125"/>
      <c r="G38" s="134"/>
      <c r="H38" s="127"/>
      <c r="I38" s="127"/>
      <c r="J38" s="127"/>
      <c r="K38" s="127"/>
      <c r="L38" s="134"/>
      <c r="M38" s="127"/>
      <c r="N38" s="135"/>
      <c r="O38" s="127"/>
      <c r="Q38" s="46"/>
    </row>
    <row r="39" spans="1:18" x14ac:dyDescent="0.25">
      <c r="A39" s="60" t="s">
        <v>100</v>
      </c>
      <c r="C39" s="94">
        <f>D39-G39</f>
        <v>-950</v>
      </c>
      <c r="D39" s="126">
        <f>Reserves!F15</f>
        <v>8550</v>
      </c>
      <c r="E39" s="127"/>
      <c r="F39" s="89">
        <f t="shared" ref="F39" si="28">G39-L39</f>
        <v>0</v>
      </c>
      <c r="G39" s="126">
        <v>9500</v>
      </c>
      <c r="H39" s="96">
        <f t="shared" ref="H39" si="29">G39/12*10</f>
        <v>7916.6666666666661</v>
      </c>
      <c r="I39" s="127">
        <v>0</v>
      </c>
      <c r="J39" s="96">
        <f t="shared" ref="J39" si="30">H39-I39</f>
        <v>7916.6666666666661</v>
      </c>
      <c r="K39" s="127"/>
      <c r="L39" s="126">
        <v>9500</v>
      </c>
      <c r="M39" s="96">
        <f>L39/12*10</f>
        <v>7916.6666666666661</v>
      </c>
      <c r="N39" s="127">
        <v>6750</v>
      </c>
      <c r="O39" s="91">
        <f>M39-N39</f>
        <v>1166.6666666666661</v>
      </c>
      <c r="Q39" s="61"/>
    </row>
    <row r="40" spans="1:18" x14ac:dyDescent="0.25">
      <c r="A40" s="60"/>
      <c r="C40" s="125"/>
      <c r="D40" s="126"/>
      <c r="E40" s="127"/>
      <c r="F40" s="125"/>
      <c r="G40" s="126"/>
      <c r="H40" s="127"/>
      <c r="I40" s="127"/>
      <c r="J40" s="127"/>
      <c r="K40" s="127"/>
      <c r="L40" s="126"/>
      <c r="M40" s="127"/>
      <c r="N40" s="127"/>
      <c r="O40" s="127"/>
      <c r="Q40" s="46"/>
    </row>
    <row r="41" spans="1:18" s="142" customFormat="1" ht="15.75" thickBot="1" x14ac:dyDescent="0.3">
      <c r="A41" s="148" t="s">
        <v>1</v>
      </c>
      <c r="C41" s="138">
        <f t="shared" ref="C41:D41" si="31">SUM(C37:C40)</f>
        <v>806.19404627892482</v>
      </c>
      <c r="D41" s="139">
        <f t="shared" si="31"/>
        <v>21379.594046278926</v>
      </c>
      <c r="E41" s="151"/>
      <c r="F41" s="138">
        <f t="shared" ref="F41:J41" si="32">SUM(F37:F40)</f>
        <v>444.39999999999981</v>
      </c>
      <c r="G41" s="139">
        <f t="shared" si="32"/>
        <v>20573.400000000001</v>
      </c>
      <c r="H41" s="140">
        <f t="shared" si="32"/>
        <v>17144.5</v>
      </c>
      <c r="I41" s="140">
        <f t="shared" si="32"/>
        <v>9978.43</v>
      </c>
      <c r="J41" s="140">
        <f t="shared" si="32"/>
        <v>7166.0699999999988</v>
      </c>
      <c r="K41" s="151"/>
      <c r="L41" s="139">
        <f>SUM(L37:L40)</f>
        <v>20129</v>
      </c>
      <c r="M41" s="140">
        <f t="shared" ref="M41:O41" si="33">SUM(M37:M40)</f>
        <v>16774.166666666664</v>
      </c>
      <c r="N41" s="140">
        <f t="shared" si="33"/>
        <v>18249.48</v>
      </c>
      <c r="O41" s="140">
        <f t="shared" si="33"/>
        <v>-1475.3133333333335</v>
      </c>
      <c r="Q41" s="169">
        <f>SUM(C41:P41)</f>
        <v>131169.9214258912</v>
      </c>
      <c r="R41" s="170" t="s">
        <v>173</v>
      </c>
    </row>
    <row r="42" spans="1:18" x14ac:dyDescent="0.25">
      <c r="Q42" s="46"/>
    </row>
    <row r="43" spans="1:18" x14ac:dyDescent="0.25">
      <c r="A43" s="5" t="s">
        <v>164</v>
      </c>
      <c r="B43" s="5"/>
      <c r="C43" s="110">
        <f>Summary!$C$26</f>
        <v>2.4E-2</v>
      </c>
      <c r="Q43" s="46"/>
    </row>
    <row r="44" spans="1:18" x14ac:dyDescent="0.25">
      <c r="Q44" s="46"/>
    </row>
    <row r="45" spans="1:18" x14ac:dyDescent="0.25">
      <c r="Q45" s="46"/>
    </row>
  </sheetData>
  <sheetProtection algorithmName="SHA-512" hashValue="ECeuLXp8UvC9eKqfrOX1XEad0gNtXR2eqSDQCBwmNVJZOnemS153kgzZ2LgAhVVBLR6eB6HZHz6QNLKOdWEXAg==" saltValue="3WdYi4xWdYiPd/hSbhnMEQ==" spinCount="100000" sheet="1" objects="1" scenarios="1"/>
  <mergeCells count="10">
    <mergeCell ref="C4:D4"/>
    <mergeCell ref="G4:J4"/>
    <mergeCell ref="L4:O4"/>
    <mergeCell ref="C5:C6"/>
    <mergeCell ref="D5:D6"/>
    <mergeCell ref="F5:F6"/>
    <mergeCell ref="G5:H5"/>
    <mergeCell ref="L5:M5"/>
    <mergeCell ref="H6:J6"/>
    <mergeCell ref="M6:O6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60"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32"/>
  <sheetViews>
    <sheetView showGridLines="0" zoomScale="80" zoomScaleNormal="80" workbookViewId="0"/>
  </sheetViews>
  <sheetFormatPr defaultRowHeight="15" x14ac:dyDescent="0.25"/>
  <cols>
    <col min="1" max="1" width="40.7109375" style="41" customWidth="1"/>
    <col min="2" max="2" width="2.7109375" style="41" customWidth="1"/>
    <col min="3" max="4" width="11.7109375" style="41" customWidth="1"/>
    <col min="5" max="5" width="2.7109375" style="41" customWidth="1"/>
    <col min="6" max="10" width="11.7109375" style="41" customWidth="1"/>
    <col min="11" max="11" width="2.7109375" style="41" customWidth="1"/>
    <col min="12" max="15" width="11.7109375" style="41" customWidth="1"/>
    <col min="16" max="16" width="2.7109375" style="41" customWidth="1"/>
    <col min="17" max="16384" width="9.140625" style="41"/>
  </cols>
  <sheetData>
    <row r="1" spans="1:18" ht="21" x14ac:dyDescent="0.25">
      <c r="A1" s="63" t="s">
        <v>124</v>
      </c>
      <c r="B1" s="64"/>
      <c r="C1" s="66" t="s">
        <v>166</v>
      </c>
      <c r="D1" s="65"/>
      <c r="E1" s="65"/>
      <c r="F1" s="65"/>
      <c r="G1" s="66" t="s">
        <v>231</v>
      </c>
      <c r="H1" s="5"/>
      <c r="I1" s="203">
        <v>4</v>
      </c>
      <c r="J1" s="5"/>
      <c r="K1" s="5"/>
      <c r="L1" s="5"/>
      <c r="M1" s="5"/>
      <c r="N1" s="5"/>
      <c r="O1" s="5"/>
      <c r="P1" s="5"/>
      <c r="Q1" s="5"/>
    </row>
    <row r="2" spans="1:18" x14ac:dyDescent="0.25">
      <c r="A2" s="64"/>
      <c r="B2" s="64"/>
      <c r="C2" s="64"/>
      <c r="D2" s="65"/>
      <c r="E2" s="65"/>
      <c r="F2" s="65"/>
      <c r="G2" s="64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8" ht="21" x14ac:dyDescent="0.25">
      <c r="A3" s="66" t="s">
        <v>240</v>
      </c>
      <c r="B3" s="65"/>
      <c r="C3" s="65"/>
      <c r="D3" s="65"/>
      <c r="E3" s="65"/>
      <c r="F3" s="65"/>
      <c r="G3" s="64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ht="21" x14ac:dyDescent="0.25">
      <c r="A4" s="21"/>
      <c r="B4" s="21"/>
      <c r="C4" s="313">
        <v>2019</v>
      </c>
      <c r="D4" s="313"/>
      <c r="E4" s="22"/>
      <c r="F4" s="21"/>
      <c r="G4" s="313">
        <v>2018</v>
      </c>
      <c r="H4" s="314"/>
      <c r="I4" s="314"/>
      <c r="J4" s="314"/>
      <c r="K4" s="21"/>
      <c r="L4" s="313">
        <v>2017</v>
      </c>
      <c r="M4" s="313"/>
      <c r="N4" s="313"/>
      <c r="O4" s="313"/>
      <c r="P4" s="22"/>
      <c r="Q4" s="23" t="s">
        <v>98</v>
      </c>
    </row>
    <row r="5" spans="1:18" x14ac:dyDescent="0.25">
      <c r="A5" s="31"/>
      <c r="B5" s="31"/>
      <c r="C5" s="315" t="s">
        <v>163</v>
      </c>
      <c r="D5" s="317" t="s">
        <v>44</v>
      </c>
      <c r="E5" s="31"/>
      <c r="F5" s="315" t="s">
        <v>162</v>
      </c>
      <c r="G5" s="321" t="s">
        <v>161</v>
      </c>
      <c r="H5" s="321"/>
      <c r="I5" s="32" t="s">
        <v>117</v>
      </c>
      <c r="J5" s="32" t="s">
        <v>97</v>
      </c>
      <c r="K5" s="31"/>
      <c r="L5" s="321" t="s">
        <v>161</v>
      </c>
      <c r="M5" s="330"/>
      <c r="N5" s="32" t="s">
        <v>117</v>
      </c>
      <c r="O5" s="32" t="s">
        <v>97</v>
      </c>
      <c r="P5" s="32"/>
      <c r="Q5" s="33"/>
    </row>
    <row r="6" spans="1:18" x14ac:dyDescent="0.25">
      <c r="A6" s="31"/>
      <c r="B6" s="31"/>
      <c r="C6" s="332"/>
      <c r="D6" s="318"/>
      <c r="E6" s="31"/>
      <c r="F6" s="319"/>
      <c r="G6" s="34" t="s">
        <v>159</v>
      </c>
      <c r="H6" s="321" t="s">
        <v>160</v>
      </c>
      <c r="I6" s="310"/>
      <c r="J6" s="310"/>
      <c r="K6" s="31"/>
      <c r="L6" s="34" t="s">
        <v>159</v>
      </c>
      <c r="M6" s="321" t="s">
        <v>160</v>
      </c>
      <c r="N6" s="310"/>
      <c r="O6" s="310"/>
      <c r="P6" s="32"/>
      <c r="Q6" s="33"/>
    </row>
    <row r="7" spans="1:18" x14ac:dyDescent="0.25">
      <c r="A7" s="88" t="s">
        <v>20</v>
      </c>
      <c r="B7" s="88"/>
      <c r="C7" s="89"/>
      <c r="D7" s="90"/>
      <c r="E7" s="91"/>
      <c r="F7" s="89"/>
      <c r="G7" s="90"/>
      <c r="H7" s="91"/>
      <c r="I7" s="91"/>
      <c r="J7" s="91"/>
      <c r="K7" s="91"/>
      <c r="L7" s="90"/>
      <c r="M7" s="91"/>
      <c r="N7" s="91"/>
      <c r="O7" s="91"/>
      <c r="P7" s="5"/>
      <c r="Q7" s="5"/>
    </row>
    <row r="8" spans="1:18" x14ac:dyDescent="0.25">
      <c r="A8" s="93" t="s">
        <v>21</v>
      </c>
      <c r="B8" s="93"/>
      <c r="C8" s="94">
        <f>D8-G8</f>
        <v>-46</v>
      </c>
      <c r="D8" s="95">
        <v>254</v>
      </c>
      <c r="E8" s="91"/>
      <c r="F8" s="89">
        <f>G8-L8</f>
        <v>60</v>
      </c>
      <c r="G8" s="95">
        <v>300</v>
      </c>
      <c r="H8" s="96">
        <f>G8/12*10</f>
        <v>250</v>
      </c>
      <c r="I8" s="96">
        <v>160</v>
      </c>
      <c r="J8" s="96">
        <f>H8-I8</f>
        <v>90</v>
      </c>
      <c r="K8" s="91"/>
      <c r="L8" s="90">
        <v>240</v>
      </c>
      <c r="M8" s="96">
        <f>L8/12*10</f>
        <v>200</v>
      </c>
      <c r="N8" s="91">
        <v>160</v>
      </c>
      <c r="O8" s="91">
        <f>M8-N8</f>
        <v>40</v>
      </c>
      <c r="P8" s="15"/>
      <c r="Q8" s="85"/>
    </row>
    <row r="9" spans="1:18" x14ac:dyDescent="0.25">
      <c r="A9" s="93" t="s">
        <v>14</v>
      </c>
      <c r="B9" s="93" t="s">
        <v>165</v>
      </c>
      <c r="C9" s="94">
        <f>D9-G9</f>
        <v>3.5999999999999943</v>
      </c>
      <c r="D9" s="95">
        <f>G9+(G9*$C$32)</f>
        <v>153.6</v>
      </c>
      <c r="E9" s="91"/>
      <c r="F9" s="89">
        <f t="shared" ref="F9:F11" si="0">G9-L9</f>
        <v>0</v>
      </c>
      <c r="G9" s="95">
        <v>150</v>
      </c>
      <c r="H9" s="96">
        <f>G9/12*10</f>
        <v>125</v>
      </c>
      <c r="I9" s="96">
        <v>130</v>
      </c>
      <c r="J9" s="96">
        <f>H9-I9</f>
        <v>-5</v>
      </c>
      <c r="K9" s="91"/>
      <c r="L9" s="90">
        <v>150</v>
      </c>
      <c r="M9" s="96">
        <f>L9/12*10</f>
        <v>125</v>
      </c>
      <c r="N9" s="91">
        <v>130</v>
      </c>
      <c r="O9" s="91">
        <f>M9-N9</f>
        <v>-5</v>
      </c>
      <c r="P9" s="15"/>
      <c r="Q9" s="85"/>
      <c r="R9" s="27"/>
    </row>
    <row r="10" spans="1:18" x14ac:dyDescent="0.25">
      <c r="A10" s="93" t="s">
        <v>15</v>
      </c>
      <c r="B10" s="93" t="s">
        <v>165</v>
      </c>
      <c r="C10" s="94">
        <f>D10-G10</f>
        <v>6</v>
      </c>
      <c r="D10" s="95">
        <f>G10+(G10*$C$32)</f>
        <v>256</v>
      </c>
      <c r="E10" s="91"/>
      <c r="F10" s="89">
        <f t="shared" si="0"/>
        <v>50</v>
      </c>
      <c r="G10" s="95">
        <v>250</v>
      </c>
      <c r="H10" s="96">
        <f>G10/12*10</f>
        <v>208.33333333333331</v>
      </c>
      <c r="I10" s="96">
        <v>0</v>
      </c>
      <c r="J10" s="96">
        <f>H10-I10</f>
        <v>208.33333333333331</v>
      </c>
      <c r="K10" s="91"/>
      <c r="L10" s="90">
        <v>200</v>
      </c>
      <c r="M10" s="96">
        <f>L10/12*10</f>
        <v>166.66666666666669</v>
      </c>
      <c r="N10" s="91">
        <v>0</v>
      </c>
      <c r="O10" s="91">
        <f>M10-N10</f>
        <v>166.66666666666669</v>
      </c>
      <c r="P10" s="15"/>
      <c r="Q10" s="158"/>
    </row>
    <row r="11" spans="1:18" x14ac:dyDescent="0.25">
      <c r="A11" s="93" t="s">
        <v>153</v>
      </c>
      <c r="B11" s="93"/>
      <c r="C11" s="94">
        <f>D11-G11</f>
        <v>168</v>
      </c>
      <c r="D11" s="95">
        <f>(70+70)*1.2</f>
        <v>168</v>
      </c>
      <c r="E11" s="91"/>
      <c r="F11" s="89">
        <f t="shared" si="0"/>
        <v>0</v>
      </c>
      <c r="G11" s="95">
        <v>0</v>
      </c>
      <c r="H11" s="96">
        <f>G11/12*10</f>
        <v>0</v>
      </c>
      <c r="I11" s="96">
        <v>0</v>
      </c>
      <c r="J11" s="96">
        <f>H11-I11</f>
        <v>0</v>
      </c>
      <c r="K11" s="91"/>
      <c r="L11" s="90">
        <v>0</v>
      </c>
      <c r="M11" s="96">
        <f>L11/12*10</f>
        <v>0</v>
      </c>
      <c r="N11" s="91">
        <v>0</v>
      </c>
      <c r="O11" s="91">
        <f>M11-N11</f>
        <v>0</v>
      </c>
      <c r="P11" s="15"/>
    </row>
    <row r="12" spans="1:18" x14ac:dyDescent="0.25">
      <c r="A12" s="93"/>
      <c r="B12" s="93"/>
      <c r="C12" s="94"/>
      <c r="D12" s="95"/>
      <c r="E12" s="91"/>
      <c r="F12" s="89"/>
      <c r="G12" s="95"/>
      <c r="H12" s="96"/>
      <c r="I12" s="96"/>
      <c r="J12" s="96"/>
      <c r="K12" s="91"/>
      <c r="L12" s="90"/>
      <c r="M12" s="91"/>
      <c r="N12" s="91"/>
      <c r="O12" s="91"/>
      <c r="P12" s="15"/>
    </row>
    <row r="13" spans="1:18" s="142" customFormat="1" ht="15.75" thickBot="1" x14ac:dyDescent="0.3">
      <c r="A13" s="148" t="s">
        <v>169</v>
      </c>
      <c r="B13" s="88"/>
      <c r="C13" s="98">
        <f>SUM(C7:C12)</f>
        <v>131.6</v>
      </c>
      <c r="D13" s="99">
        <f>SUM(D7:D12)</f>
        <v>831.6</v>
      </c>
      <c r="E13" s="100"/>
      <c r="F13" s="98">
        <f t="shared" ref="F13:J13" si="1">SUM(F7:F12)</f>
        <v>110</v>
      </c>
      <c r="G13" s="99">
        <f t="shared" si="1"/>
        <v>700</v>
      </c>
      <c r="H13" s="101">
        <f t="shared" si="1"/>
        <v>583.33333333333326</v>
      </c>
      <c r="I13" s="101">
        <f t="shared" si="1"/>
        <v>290</v>
      </c>
      <c r="J13" s="101">
        <f t="shared" si="1"/>
        <v>293.33333333333331</v>
      </c>
      <c r="K13" s="100"/>
      <c r="L13" s="102">
        <f t="shared" ref="L13:O13" si="2">SUM(L7:L12)</f>
        <v>590</v>
      </c>
      <c r="M13" s="101">
        <f t="shared" si="2"/>
        <v>491.66666666666669</v>
      </c>
      <c r="N13" s="101">
        <f t="shared" si="2"/>
        <v>290</v>
      </c>
      <c r="O13" s="101">
        <f t="shared" si="2"/>
        <v>201.66666666666669</v>
      </c>
      <c r="P13" s="17"/>
    </row>
    <row r="14" spans="1:18" x14ac:dyDescent="0.25">
      <c r="C14" s="125"/>
      <c r="D14" s="126"/>
      <c r="E14" s="127"/>
      <c r="F14" s="125"/>
      <c r="G14" s="126"/>
      <c r="H14" s="127"/>
      <c r="I14" s="127"/>
      <c r="J14" s="127"/>
      <c r="K14" s="127"/>
      <c r="L14" s="126"/>
      <c r="M14" s="127"/>
      <c r="N14" s="127"/>
      <c r="O14" s="127"/>
    </row>
    <row r="15" spans="1:18" x14ac:dyDescent="0.25">
      <c r="A15" s="53" t="s">
        <v>23</v>
      </c>
      <c r="C15" s="125"/>
      <c r="D15" s="126"/>
      <c r="E15" s="127"/>
      <c r="F15" s="125"/>
      <c r="G15" s="126"/>
      <c r="H15" s="127"/>
      <c r="I15" s="127"/>
      <c r="J15" s="127"/>
      <c r="K15" s="127"/>
      <c r="L15" s="126"/>
      <c r="M15" s="127"/>
      <c r="N15" s="127"/>
      <c r="O15" s="127"/>
    </row>
    <row r="16" spans="1:18" x14ac:dyDescent="0.25">
      <c r="A16" s="60" t="s">
        <v>22</v>
      </c>
      <c r="B16" s="93" t="s">
        <v>165</v>
      </c>
      <c r="C16" s="94">
        <f t="shared" ref="C16:C22" si="3">D16-G16</f>
        <v>4.8000000000000114</v>
      </c>
      <c r="D16" s="95">
        <f t="shared" ref="D16:D20" si="4">G16+(G16*$C$32)</f>
        <v>204.8</v>
      </c>
      <c r="E16" s="127"/>
      <c r="F16" s="89">
        <f t="shared" ref="F16:F22" si="5">G16-L16</f>
        <v>0</v>
      </c>
      <c r="G16" s="126">
        <v>200</v>
      </c>
      <c r="H16" s="96">
        <f t="shared" ref="H16:H22" si="6">G16/12*10</f>
        <v>166.66666666666669</v>
      </c>
      <c r="I16" s="96">
        <v>788.9</v>
      </c>
      <c r="J16" s="96">
        <f t="shared" ref="J16:J22" si="7">H16-I16</f>
        <v>-622.23333333333335</v>
      </c>
      <c r="K16" s="127"/>
      <c r="L16" s="126">
        <v>200</v>
      </c>
      <c r="M16" s="96">
        <f t="shared" ref="M16:M22" si="8">L16/12*10</f>
        <v>166.66666666666669</v>
      </c>
      <c r="N16" s="127">
        <v>155</v>
      </c>
      <c r="O16" s="91">
        <f t="shared" ref="O16:O22" si="9">M16-N16</f>
        <v>11.666666666666686</v>
      </c>
      <c r="Q16" s="41" t="s">
        <v>158</v>
      </c>
    </row>
    <row r="17" spans="1:18" x14ac:dyDescent="0.25">
      <c r="A17" s="60" t="s">
        <v>16</v>
      </c>
      <c r="B17" s="93" t="s">
        <v>165</v>
      </c>
      <c r="C17" s="94">
        <f t="shared" si="3"/>
        <v>1.2000000000000028</v>
      </c>
      <c r="D17" s="95">
        <f t="shared" si="4"/>
        <v>51.2</v>
      </c>
      <c r="E17" s="127"/>
      <c r="F17" s="89">
        <f t="shared" si="5"/>
        <v>0</v>
      </c>
      <c r="G17" s="126">
        <v>50</v>
      </c>
      <c r="H17" s="96">
        <f t="shared" si="6"/>
        <v>41.666666666666671</v>
      </c>
      <c r="I17" s="96">
        <v>23.88</v>
      </c>
      <c r="J17" s="96">
        <f t="shared" si="7"/>
        <v>17.786666666666672</v>
      </c>
      <c r="K17" s="127"/>
      <c r="L17" s="126">
        <v>50</v>
      </c>
      <c r="M17" s="96">
        <f t="shared" si="8"/>
        <v>41.666666666666671</v>
      </c>
      <c r="N17" s="127">
        <v>0</v>
      </c>
      <c r="O17" s="91">
        <f t="shared" si="9"/>
        <v>41.666666666666671</v>
      </c>
    </row>
    <row r="18" spans="1:18" x14ac:dyDescent="0.25">
      <c r="A18" s="60" t="s">
        <v>24</v>
      </c>
      <c r="B18" s="93" t="s">
        <v>165</v>
      </c>
      <c r="C18" s="94">
        <f t="shared" si="3"/>
        <v>1.2000000000000028</v>
      </c>
      <c r="D18" s="95">
        <f t="shared" si="4"/>
        <v>51.2</v>
      </c>
      <c r="E18" s="127"/>
      <c r="F18" s="89">
        <f t="shared" si="5"/>
        <v>0</v>
      </c>
      <c r="G18" s="126">
        <v>50</v>
      </c>
      <c r="H18" s="96">
        <f t="shared" si="6"/>
        <v>41.666666666666671</v>
      </c>
      <c r="I18" s="96">
        <v>340</v>
      </c>
      <c r="J18" s="96">
        <f t="shared" si="7"/>
        <v>-298.33333333333331</v>
      </c>
      <c r="K18" s="127"/>
      <c r="L18" s="126">
        <v>50</v>
      </c>
      <c r="M18" s="96">
        <f t="shared" si="8"/>
        <v>41.666666666666671</v>
      </c>
      <c r="N18" s="127">
        <v>20</v>
      </c>
      <c r="O18" s="91">
        <f t="shared" si="9"/>
        <v>21.666666666666671</v>
      </c>
    </row>
    <row r="19" spans="1:18" x14ac:dyDescent="0.25">
      <c r="A19" s="60" t="s">
        <v>12</v>
      </c>
      <c r="B19" s="93" t="s">
        <v>165</v>
      </c>
      <c r="C19" s="94">
        <f t="shared" si="3"/>
        <v>2.4000000000000057</v>
      </c>
      <c r="D19" s="95">
        <f t="shared" si="4"/>
        <v>102.4</v>
      </c>
      <c r="E19" s="127"/>
      <c r="F19" s="89">
        <f t="shared" si="5"/>
        <v>47</v>
      </c>
      <c r="G19" s="126">
        <v>100</v>
      </c>
      <c r="H19" s="96">
        <f t="shared" si="6"/>
        <v>83.333333333333343</v>
      </c>
      <c r="I19" s="96">
        <v>222.77</v>
      </c>
      <c r="J19" s="96">
        <f t="shared" si="7"/>
        <v>-139.43666666666667</v>
      </c>
      <c r="K19" s="127"/>
      <c r="L19" s="126">
        <v>53</v>
      </c>
      <c r="M19" s="96">
        <f t="shared" si="8"/>
        <v>44.166666666666671</v>
      </c>
      <c r="N19" s="127">
        <v>90</v>
      </c>
      <c r="O19" s="91">
        <f t="shared" si="9"/>
        <v>-45.833333333333329</v>
      </c>
    </row>
    <row r="20" spans="1:18" x14ac:dyDescent="0.25">
      <c r="A20" s="60" t="s">
        <v>25</v>
      </c>
      <c r="B20" s="93" t="s">
        <v>165</v>
      </c>
      <c r="C20" s="94">
        <f t="shared" si="3"/>
        <v>2.8799999999999955</v>
      </c>
      <c r="D20" s="95">
        <f t="shared" si="4"/>
        <v>122.88</v>
      </c>
      <c r="E20" s="127"/>
      <c r="F20" s="89">
        <f t="shared" si="5"/>
        <v>20</v>
      </c>
      <c r="G20" s="126">
        <v>120</v>
      </c>
      <c r="H20" s="96">
        <f t="shared" si="6"/>
        <v>100</v>
      </c>
      <c r="I20" s="96">
        <v>24</v>
      </c>
      <c r="J20" s="96">
        <f t="shared" si="7"/>
        <v>76</v>
      </c>
      <c r="K20" s="127"/>
      <c r="L20" s="126">
        <v>100</v>
      </c>
      <c r="M20" s="96">
        <f t="shared" si="8"/>
        <v>83.333333333333343</v>
      </c>
      <c r="N20" s="127">
        <v>58</v>
      </c>
      <c r="O20" s="91">
        <f t="shared" si="9"/>
        <v>25.333333333333343</v>
      </c>
    </row>
    <row r="21" spans="1:18" x14ac:dyDescent="0.25">
      <c r="A21" s="60" t="s">
        <v>127</v>
      </c>
      <c r="C21" s="94">
        <f t="shared" si="3"/>
        <v>0</v>
      </c>
      <c r="D21" s="126">
        <v>0</v>
      </c>
      <c r="E21" s="127"/>
      <c r="F21" s="89">
        <f t="shared" si="5"/>
        <v>0</v>
      </c>
      <c r="G21" s="126">
        <v>0</v>
      </c>
      <c r="H21" s="96">
        <f t="shared" si="6"/>
        <v>0</v>
      </c>
      <c r="I21" s="96">
        <v>238.8</v>
      </c>
      <c r="J21" s="96">
        <f t="shared" si="7"/>
        <v>-238.8</v>
      </c>
      <c r="K21" s="127"/>
      <c r="L21" s="126">
        <v>0</v>
      </c>
      <c r="M21" s="96">
        <f t="shared" si="8"/>
        <v>0</v>
      </c>
      <c r="N21" s="127">
        <v>0</v>
      </c>
      <c r="O21" s="91">
        <f t="shared" si="9"/>
        <v>0</v>
      </c>
      <c r="Q21" s="280" t="s">
        <v>265</v>
      </c>
    </row>
    <row r="22" spans="1:18" x14ac:dyDescent="0.25">
      <c r="A22" s="60" t="s">
        <v>152</v>
      </c>
      <c r="C22" s="94">
        <f t="shared" si="3"/>
        <v>128.76190476190476</v>
      </c>
      <c r="D22" s="126">
        <f>Reserves!W16</f>
        <v>128.76190476190476</v>
      </c>
      <c r="E22" s="127"/>
      <c r="F22" s="89">
        <f t="shared" si="5"/>
        <v>0</v>
      </c>
      <c r="G22" s="126">
        <v>0</v>
      </c>
      <c r="H22" s="96">
        <f t="shared" si="6"/>
        <v>0</v>
      </c>
      <c r="I22" s="96">
        <v>0</v>
      </c>
      <c r="J22" s="96">
        <f t="shared" si="7"/>
        <v>0</v>
      </c>
      <c r="K22" s="127"/>
      <c r="L22" s="126">
        <v>0</v>
      </c>
      <c r="M22" s="96">
        <f t="shared" si="8"/>
        <v>0</v>
      </c>
      <c r="N22" s="127">
        <v>0</v>
      </c>
      <c r="O22" s="91">
        <f t="shared" si="9"/>
        <v>0</v>
      </c>
    </row>
    <row r="23" spans="1:18" x14ac:dyDescent="0.25">
      <c r="A23" s="60"/>
      <c r="C23" s="125"/>
      <c r="D23" s="126"/>
      <c r="E23" s="127"/>
      <c r="F23" s="125"/>
      <c r="G23" s="126"/>
      <c r="H23" s="127"/>
      <c r="I23" s="127"/>
      <c r="J23" s="127"/>
      <c r="K23" s="127"/>
      <c r="L23" s="126"/>
      <c r="M23" s="127"/>
      <c r="N23" s="127"/>
      <c r="O23" s="127"/>
    </row>
    <row r="24" spans="1:18" s="142" customFormat="1" ht="15.75" thickBot="1" x14ac:dyDescent="0.3">
      <c r="A24" s="148" t="s">
        <v>170</v>
      </c>
      <c r="C24" s="149">
        <f t="shared" ref="C24:D24" si="10">SUM(C15:C23)</f>
        <v>141.24190476190478</v>
      </c>
      <c r="D24" s="150">
        <f t="shared" si="10"/>
        <v>661.24190476190483</v>
      </c>
      <c r="E24" s="151"/>
      <c r="F24" s="149">
        <f t="shared" ref="F24:J24" si="11">SUM(F15:F23)</f>
        <v>67</v>
      </c>
      <c r="G24" s="150">
        <f t="shared" si="11"/>
        <v>520</v>
      </c>
      <c r="H24" s="148">
        <f t="shared" si="11"/>
        <v>433.33333333333337</v>
      </c>
      <c r="I24" s="148">
        <f t="shared" si="11"/>
        <v>1638.35</v>
      </c>
      <c r="J24" s="148">
        <f t="shared" si="11"/>
        <v>-1205.0166666666667</v>
      </c>
      <c r="K24" s="151"/>
      <c r="L24" s="150">
        <f>SUM(L15:L23)</f>
        <v>453</v>
      </c>
      <c r="M24" s="148">
        <f t="shared" ref="M24:O24" si="12">SUM(M15:M23)</f>
        <v>377.50000000000011</v>
      </c>
      <c r="N24" s="148">
        <f t="shared" si="12"/>
        <v>323</v>
      </c>
      <c r="O24" s="148">
        <f t="shared" si="12"/>
        <v>54.500000000000043</v>
      </c>
    </row>
    <row r="25" spans="1:18" x14ac:dyDescent="0.25">
      <c r="A25" s="44"/>
      <c r="C25" s="125"/>
      <c r="D25" s="162"/>
      <c r="E25" s="127"/>
      <c r="F25" s="125"/>
      <c r="G25" s="126"/>
      <c r="H25" s="127"/>
      <c r="I25" s="127"/>
      <c r="J25" s="127"/>
      <c r="K25" s="127"/>
      <c r="L25" s="134"/>
      <c r="M25" s="127"/>
      <c r="N25" s="135"/>
      <c r="O25" s="127"/>
    </row>
    <row r="26" spans="1:18" s="142" customFormat="1" ht="15.75" thickBot="1" x14ac:dyDescent="0.3">
      <c r="A26" s="148" t="s">
        <v>168</v>
      </c>
      <c r="C26" s="149">
        <f t="shared" ref="C26:D26" si="13">C13+C24</f>
        <v>272.84190476190474</v>
      </c>
      <c r="D26" s="150">
        <f t="shared" si="13"/>
        <v>1492.841904761905</v>
      </c>
      <c r="E26" s="151"/>
      <c r="F26" s="149">
        <f t="shared" ref="F26:J26" si="14">F13+F24</f>
        <v>177</v>
      </c>
      <c r="G26" s="150">
        <f t="shared" si="14"/>
        <v>1220</v>
      </c>
      <c r="H26" s="148">
        <f t="shared" si="14"/>
        <v>1016.6666666666666</v>
      </c>
      <c r="I26" s="148">
        <f t="shared" si="14"/>
        <v>1928.35</v>
      </c>
      <c r="J26" s="148">
        <f t="shared" si="14"/>
        <v>-911.68333333333339</v>
      </c>
      <c r="K26" s="151"/>
      <c r="L26" s="150">
        <f>L13+L24</f>
        <v>1043</v>
      </c>
      <c r="M26" s="148">
        <f t="shared" ref="M26:O26" si="15">M13+M24</f>
        <v>869.16666666666674</v>
      </c>
      <c r="N26" s="148">
        <f t="shared" si="15"/>
        <v>613</v>
      </c>
      <c r="O26" s="148">
        <f t="shared" si="15"/>
        <v>256.16666666666674</v>
      </c>
    </row>
    <row r="27" spans="1:18" x14ac:dyDescent="0.25">
      <c r="C27" s="125"/>
      <c r="D27" s="162"/>
      <c r="E27" s="127"/>
      <c r="F27" s="125"/>
      <c r="G27" s="126"/>
      <c r="H27" s="127"/>
      <c r="I27" s="127"/>
      <c r="J27" s="127"/>
      <c r="K27" s="127"/>
      <c r="L27" s="134"/>
      <c r="M27" s="127"/>
      <c r="N27" s="135"/>
      <c r="O27" s="127"/>
    </row>
    <row r="28" spans="1:18" x14ac:dyDescent="0.25">
      <c r="A28" s="60" t="s">
        <v>100</v>
      </c>
      <c r="C28" s="94">
        <f>D28-G28</f>
        <v>-210.00000000000006</v>
      </c>
      <c r="D28" s="126">
        <f>Reserves!F16</f>
        <v>489.99999999999994</v>
      </c>
      <c r="E28" s="127"/>
      <c r="F28" s="89">
        <f t="shared" ref="F28" si="16">G28-L28</f>
        <v>0</v>
      </c>
      <c r="G28" s="126">
        <v>700</v>
      </c>
      <c r="H28" s="96">
        <f>G28/12*10</f>
        <v>583.33333333333337</v>
      </c>
      <c r="I28" s="96">
        <v>0</v>
      </c>
      <c r="J28" s="96">
        <f>H28-I28</f>
        <v>583.33333333333337</v>
      </c>
      <c r="K28" s="127"/>
      <c r="L28" s="126">
        <v>700</v>
      </c>
      <c r="M28" s="96">
        <f>L28/12*10</f>
        <v>583.33333333333337</v>
      </c>
      <c r="N28" s="127">
        <v>525</v>
      </c>
      <c r="O28" s="91">
        <f>M28-N28</f>
        <v>58.333333333333371</v>
      </c>
      <c r="Q28" s="157"/>
    </row>
    <row r="29" spans="1:18" x14ac:dyDescent="0.25">
      <c r="A29" s="60"/>
      <c r="C29" s="125"/>
      <c r="D29" s="126"/>
      <c r="E29" s="127"/>
      <c r="F29" s="125"/>
      <c r="G29" s="126"/>
      <c r="H29" s="127"/>
      <c r="I29" s="127"/>
      <c r="J29" s="127"/>
      <c r="K29" s="127"/>
      <c r="L29" s="126"/>
      <c r="M29" s="127"/>
      <c r="N29" s="127"/>
      <c r="O29" s="127"/>
      <c r="Q29" s="157"/>
    </row>
    <row r="30" spans="1:18" s="142" customFormat="1" ht="15.75" thickBot="1" x14ac:dyDescent="0.3">
      <c r="A30" s="148" t="s">
        <v>1</v>
      </c>
      <c r="C30" s="138">
        <f t="shared" ref="C30:D30" si="17">SUM(C26:C29)</f>
        <v>62.841904761904686</v>
      </c>
      <c r="D30" s="139">
        <f t="shared" si="17"/>
        <v>1982.841904761905</v>
      </c>
      <c r="E30" s="151"/>
      <c r="F30" s="138">
        <f t="shared" ref="F30:J30" si="18">SUM(F26:F29)</f>
        <v>177</v>
      </c>
      <c r="G30" s="139">
        <f t="shared" si="18"/>
        <v>1920</v>
      </c>
      <c r="H30" s="140">
        <f t="shared" si="18"/>
        <v>1600</v>
      </c>
      <c r="I30" s="140">
        <f t="shared" si="18"/>
        <v>1928.35</v>
      </c>
      <c r="J30" s="140">
        <f t="shared" si="18"/>
        <v>-328.35</v>
      </c>
      <c r="K30" s="151"/>
      <c r="L30" s="139">
        <f>SUM(L26:L29)</f>
        <v>1743</v>
      </c>
      <c r="M30" s="140">
        <f t="shared" ref="M30:O30" si="19">SUM(M26:M29)</f>
        <v>1452.5</v>
      </c>
      <c r="N30" s="140">
        <f t="shared" si="19"/>
        <v>1138</v>
      </c>
      <c r="O30" s="140">
        <f t="shared" si="19"/>
        <v>314.50000000000011</v>
      </c>
      <c r="Q30" s="169">
        <f>SUM(C30:P30)</f>
        <v>11990.683809523809</v>
      </c>
      <c r="R30" s="170" t="s">
        <v>173</v>
      </c>
    </row>
    <row r="32" spans="1:18" x14ac:dyDescent="0.25">
      <c r="A32" s="5" t="s">
        <v>164</v>
      </c>
      <c r="C32" s="110">
        <f>Summary!$C$26</f>
        <v>2.4E-2</v>
      </c>
    </row>
  </sheetData>
  <sheetProtection algorithmName="SHA-512" hashValue="CqHfcAtAKUIe7hLAU+JRthLjYOXCBVGF/IQFbXp1M2FrvKEBNZ1fraOxEChA+yIheLp167F57er8usEb/qFhbw==" saltValue="/2aOr2cuhcq1Q98jFfqjeg==" spinCount="100000" sheet="1" objects="1" scenarios="1"/>
  <mergeCells count="10">
    <mergeCell ref="C4:D4"/>
    <mergeCell ref="G4:J4"/>
    <mergeCell ref="L4:O4"/>
    <mergeCell ref="C5:C6"/>
    <mergeCell ref="D5:D6"/>
    <mergeCell ref="F5:F6"/>
    <mergeCell ref="G5:H5"/>
    <mergeCell ref="L5:M5"/>
    <mergeCell ref="H6:J6"/>
    <mergeCell ref="M6:O6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4"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R17"/>
  <sheetViews>
    <sheetView showGridLines="0" zoomScale="80" zoomScaleNormal="80" workbookViewId="0"/>
  </sheetViews>
  <sheetFormatPr defaultRowHeight="15" x14ac:dyDescent="0.25"/>
  <cols>
    <col min="1" max="1" width="45.42578125" style="41" customWidth="1"/>
    <col min="2" max="2" width="2.7109375" style="41" customWidth="1"/>
    <col min="3" max="4" width="11.7109375" style="41" customWidth="1"/>
    <col min="5" max="5" width="2.7109375" style="41" customWidth="1"/>
    <col min="6" max="10" width="11.7109375" style="41" customWidth="1"/>
    <col min="11" max="11" width="2.7109375" style="41" customWidth="1"/>
    <col min="12" max="15" width="11.7109375" style="41" customWidth="1"/>
    <col min="16" max="16" width="2.7109375" style="41" customWidth="1"/>
    <col min="17" max="16384" width="9.140625" style="41"/>
  </cols>
  <sheetData>
    <row r="1" spans="1:18" ht="21" x14ac:dyDescent="0.25">
      <c r="A1" s="63" t="s">
        <v>124</v>
      </c>
      <c r="B1" s="64"/>
      <c r="C1" s="66" t="s">
        <v>166</v>
      </c>
      <c r="D1" s="65"/>
      <c r="E1" s="65"/>
      <c r="F1" s="65"/>
      <c r="G1" s="66" t="s">
        <v>231</v>
      </c>
      <c r="H1" s="206"/>
      <c r="I1" s="203">
        <v>8</v>
      </c>
      <c r="J1" s="206"/>
      <c r="K1" s="206"/>
      <c r="L1" s="206"/>
      <c r="M1" s="206"/>
      <c r="N1" s="206"/>
      <c r="O1" s="206"/>
      <c r="P1" s="206"/>
      <c r="Q1" s="206"/>
    </row>
    <row r="2" spans="1:18" x14ac:dyDescent="0.25">
      <c r="A2" s="64"/>
      <c r="B2" s="64"/>
      <c r="C2" s="64"/>
      <c r="D2" s="65"/>
      <c r="E2" s="65"/>
      <c r="F2" s="65"/>
      <c r="G2" s="64"/>
      <c r="H2" s="206"/>
      <c r="I2" s="206"/>
      <c r="J2" s="206"/>
      <c r="K2" s="206"/>
      <c r="L2" s="206"/>
      <c r="M2" s="206"/>
      <c r="N2" s="206"/>
      <c r="O2" s="206"/>
      <c r="P2" s="206"/>
      <c r="Q2" s="206"/>
    </row>
    <row r="3" spans="1:18" ht="21" x14ac:dyDescent="0.25">
      <c r="A3" s="66" t="s">
        <v>241</v>
      </c>
      <c r="B3" s="65"/>
      <c r="C3" s="65"/>
      <c r="D3" s="65"/>
      <c r="E3" s="65"/>
      <c r="F3" s="65"/>
      <c r="G3" s="64"/>
      <c r="H3" s="206"/>
      <c r="I3" s="206"/>
      <c r="J3" s="206"/>
      <c r="K3" s="206"/>
      <c r="L3" s="206"/>
      <c r="M3" s="206"/>
      <c r="N3" s="206"/>
      <c r="O3" s="206"/>
      <c r="P3" s="206"/>
      <c r="Q3" s="206"/>
    </row>
    <row r="4" spans="1:18" ht="21" x14ac:dyDescent="0.25">
      <c r="A4" s="21"/>
      <c r="B4" s="21"/>
      <c r="C4" s="313">
        <v>2019</v>
      </c>
      <c r="D4" s="313"/>
      <c r="E4" s="202"/>
      <c r="F4" s="21"/>
      <c r="G4" s="313">
        <v>2018</v>
      </c>
      <c r="H4" s="314"/>
      <c r="I4" s="314"/>
      <c r="J4" s="314"/>
      <c r="K4" s="21"/>
      <c r="L4" s="313">
        <v>2017</v>
      </c>
      <c r="M4" s="313"/>
      <c r="N4" s="313"/>
      <c r="O4" s="313"/>
      <c r="P4" s="202"/>
      <c r="Q4" s="23" t="s">
        <v>98</v>
      </c>
    </row>
    <row r="5" spans="1:18" x14ac:dyDescent="0.25">
      <c r="A5" s="31"/>
      <c r="B5" s="31"/>
      <c r="C5" s="315" t="s">
        <v>163</v>
      </c>
      <c r="D5" s="317" t="s">
        <v>44</v>
      </c>
      <c r="E5" s="31"/>
      <c r="F5" s="315" t="s">
        <v>162</v>
      </c>
      <c r="G5" s="321" t="s">
        <v>161</v>
      </c>
      <c r="H5" s="321"/>
      <c r="I5" s="204" t="s">
        <v>117</v>
      </c>
      <c r="J5" s="204" t="s">
        <v>97</v>
      </c>
      <c r="K5" s="31"/>
      <c r="L5" s="321" t="s">
        <v>161</v>
      </c>
      <c r="M5" s="330"/>
      <c r="N5" s="204" t="s">
        <v>117</v>
      </c>
      <c r="O5" s="204" t="s">
        <v>97</v>
      </c>
      <c r="P5" s="204"/>
      <c r="Q5" s="33"/>
    </row>
    <row r="6" spans="1:18" x14ac:dyDescent="0.25">
      <c r="A6" s="31"/>
      <c r="B6" s="31"/>
      <c r="C6" s="332"/>
      <c r="D6" s="318"/>
      <c r="E6" s="31"/>
      <c r="F6" s="319"/>
      <c r="G6" s="34" t="s">
        <v>159</v>
      </c>
      <c r="H6" s="321" t="s">
        <v>160</v>
      </c>
      <c r="I6" s="310"/>
      <c r="J6" s="310"/>
      <c r="K6" s="31"/>
      <c r="L6" s="34" t="s">
        <v>159</v>
      </c>
      <c r="M6" s="321" t="s">
        <v>160</v>
      </c>
      <c r="N6" s="310"/>
      <c r="O6" s="310"/>
      <c r="P6" s="204"/>
      <c r="Q6" s="33"/>
    </row>
    <row r="7" spans="1:18" x14ac:dyDescent="0.25">
      <c r="A7" s="88" t="s">
        <v>20</v>
      </c>
      <c r="B7" s="88"/>
      <c r="C7" s="89"/>
      <c r="D7" s="90"/>
      <c r="E7" s="91"/>
      <c r="F7" s="89"/>
      <c r="G7" s="90"/>
      <c r="H7" s="91"/>
      <c r="I7" s="91"/>
      <c r="J7" s="91"/>
      <c r="K7" s="91"/>
      <c r="L7" s="90"/>
      <c r="M7" s="91"/>
      <c r="N7" s="91"/>
      <c r="O7" s="91"/>
      <c r="P7" s="5"/>
      <c r="Q7" s="5"/>
    </row>
    <row r="8" spans="1:18" x14ac:dyDescent="0.25">
      <c r="A8" s="44" t="s">
        <v>90</v>
      </c>
      <c r="B8" s="93"/>
      <c r="C8" s="94">
        <f>D8-G8</f>
        <v>0</v>
      </c>
      <c r="D8" s="95">
        <v>440</v>
      </c>
      <c r="E8" s="91"/>
      <c r="F8" s="89">
        <f>G8-L8</f>
        <v>0</v>
      </c>
      <c r="G8" s="95">
        <v>440</v>
      </c>
      <c r="H8" s="96">
        <f>G8/12*10</f>
        <v>366.66666666666663</v>
      </c>
      <c r="I8" s="96">
        <v>0</v>
      </c>
      <c r="J8" s="96">
        <f>H8-I8</f>
        <v>366.66666666666663</v>
      </c>
      <c r="K8" s="91"/>
      <c r="L8" s="90">
        <v>440</v>
      </c>
      <c r="M8" s="96">
        <f>L8/12*10</f>
        <v>366.66666666666663</v>
      </c>
      <c r="N8" s="91">
        <v>0</v>
      </c>
      <c r="O8" s="91">
        <f>M8-N8</f>
        <v>366.66666666666663</v>
      </c>
      <c r="P8" s="15"/>
      <c r="Q8" s="5"/>
    </row>
    <row r="9" spans="1:18" x14ac:dyDescent="0.25">
      <c r="A9" s="44" t="s">
        <v>123</v>
      </c>
      <c r="B9" s="93"/>
      <c r="C9" s="94">
        <f>D9-G9</f>
        <v>0</v>
      </c>
      <c r="D9" s="95">
        <v>0</v>
      </c>
      <c r="E9" s="91"/>
      <c r="F9" s="89">
        <f t="shared" ref="F9" si="0">G9-L9</f>
        <v>0</v>
      </c>
      <c r="G9" s="181">
        <v>0</v>
      </c>
      <c r="H9" s="182">
        <f>G9/12*10</f>
        <v>0</v>
      </c>
      <c r="I9" s="96">
        <v>0</v>
      </c>
      <c r="J9" s="96">
        <f>H9-I9</f>
        <v>0</v>
      </c>
      <c r="K9" s="91"/>
      <c r="L9" s="183">
        <v>0</v>
      </c>
      <c r="M9" s="182">
        <f>L9/12*10</f>
        <v>0</v>
      </c>
      <c r="N9" s="91">
        <v>0</v>
      </c>
      <c r="O9" s="91">
        <f>M9-N9</f>
        <v>0</v>
      </c>
      <c r="P9" s="15"/>
      <c r="Q9" s="5"/>
    </row>
    <row r="10" spans="1:18" x14ac:dyDescent="0.25">
      <c r="B10" s="93"/>
      <c r="C10" s="94"/>
      <c r="D10" s="95"/>
      <c r="E10" s="91"/>
      <c r="F10" s="89"/>
      <c r="G10" s="95"/>
      <c r="H10" s="96"/>
      <c r="I10" s="96"/>
      <c r="J10" s="96"/>
      <c r="K10" s="91"/>
      <c r="L10" s="90"/>
      <c r="M10" s="96"/>
      <c r="N10" s="91"/>
      <c r="O10" s="91"/>
      <c r="P10" s="15"/>
      <c r="Q10" s="9"/>
    </row>
    <row r="11" spans="1:18" ht="15.75" thickBot="1" x14ac:dyDescent="0.3">
      <c r="A11" s="148" t="s">
        <v>168</v>
      </c>
      <c r="B11" s="93"/>
      <c r="C11" s="98">
        <f>SUM(C7:C10)</f>
        <v>0</v>
      </c>
      <c r="D11" s="99">
        <f>SUM(D7:D10)</f>
        <v>440</v>
      </c>
      <c r="E11" s="91"/>
      <c r="F11" s="98">
        <f t="shared" ref="F11:J11" si="1">SUM(F7:F10)</f>
        <v>0</v>
      </c>
      <c r="G11" s="99">
        <f t="shared" si="1"/>
        <v>440</v>
      </c>
      <c r="H11" s="101">
        <f t="shared" si="1"/>
        <v>366.66666666666663</v>
      </c>
      <c r="I11" s="101">
        <f t="shared" si="1"/>
        <v>0</v>
      </c>
      <c r="J11" s="101">
        <f t="shared" si="1"/>
        <v>366.66666666666663</v>
      </c>
      <c r="K11" s="91"/>
      <c r="L11" s="99">
        <f t="shared" ref="L11:O11" si="2">SUM(L7:L10)</f>
        <v>440</v>
      </c>
      <c r="M11" s="101">
        <f t="shared" si="2"/>
        <v>366.66666666666663</v>
      </c>
      <c r="N11" s="101">
        <f t="shared" si="2"/>
        <v>0</v>
      </c>
      <c r="O11" s="101">
        <f t="shared" si="2"/>
        <v>366.66666666666663</v>
      </c>
      <c r="P11" s="15"/>
      <c r="Q11" s="5"/>
    </row>
    <row r="12" spans="1:18" x14ac:dyDescent="0.25">
      <c r="A12" s="44"/>
      <c r="B12" s="93"/>
      <c r="C12" s="94"/>
      <c r="D12" s="95"/>
      <c r="E12" s="91"/>
      <c r="F12" s="94"/>
      <c r="G12" s="95"/>
      <c r="H12" s="96"/>
      <c r="I12" s="96"/>
      <c r="J12" s="96"/>
      <c r="K12" s="91"/>
      <c r="L12" s="95"/>
      <c r="M12" s="96"/>
      <c r="N12" s="96"/>
      <c r="O12" s="96"/>
      <c r="P12" s="15"/>
      <c r="Q12" s="5"/>
    </row>
    <row r="13" spans="1:18" x14ac:dyDescent="0.25">
      <c r="A13" s="44" t="s">
        <v>99</v>
      </c>
      <c r="B13" s="88"/>
      <c r="C13" s="94">
        <f>D13-G13</f>
        <v>0</v>
      </c>
      <c r="D13" s="126">
        <f>Reserves!F17</f>
        <v>2900</v>
      </c>
      <c r="E13" s="127"/>
      <c r="F13" s="89">
        <f>G13-L13</f>
        <v>0</v>
      </c>
      <c r="G13" s="126">
        <v>2900</v>
      </c>
      <c r="H13" s="96">
        <f>G13/12*10</f>
        <v>2416.6666666666665</v>
      </c>
      <c r="I13" s="96">
        <v>0</v>
      </c>
      <c r="J13" s="96">
        <f>H13-I13</f>
        <v>2416.6666666666665</v>
      </c>
      <c r="K13" s="91"/>
      <c r="L13" s="90">
        <v>2900</v>
      </c>
      <c r="M13" s="96">
        <f>L13/12*10</f>
        <v>2416.6666666666665</v>
      </c>
      <c r="N13" s="91">
        <v>2175</v>
      </c>
      <c r="O13" s="91">
        <f>M13-N13</f>
        <v>241.66666666666652</v>
      </c>
      <c r="Q13" s="61"/>
    </row>
    <row r="14" spans="1:18" x14ac:dyDescent="0.25">
      <c r="A14" s="44"/>
      <c r="C14" s="125"/>
      <c r="D14" s="126"/>
      <c r="E14" s="127"/>
      <c r="F14" s="125"/>
      <c r="G14" s="126"/>
      <c r="H14" s="127"/>
      <c r="I14" s="127"/>
      <c r="J14" s="127"/>
      <c r="K14" s="127"/>
      <c r="L14" s="126"/>
      <c r="M14" s="127"/>
      <c r="N14" s="127"/>
      <c r="O14" s="127"/>
    </row>
    <row r="15" spans="1:18" ht="15.75" thickBot="1" x14ac:dyDescent="0.3">
      <c r="A15" s="148" t="s">
        <v>1</v>
      </c>
      <c r="C15" s="98">
        <f>SUM(C11:C14)</f>
        <v>0</v>
      </c>
      <c r="D15" s="99">
        <f>SUM(D11:D14)</f>
        <v>3340</v>
      </c>
      <c r="E15" s="100"/>
      <c r="F15" s="98">
        <f t="shared" ref="F15:J15" si="3">SUM(F11:F14)</f>
        <v>0</v>
      </c>
      <c r="G15" s="99">
        <f t="shared" si="3"/>
        <v>3340</v>
      </c>
      <c r="H15" s="101">
        <f t="shared" si="3"/>
        <v>2783.333333333333</v>
      </c>
      <c r="I15" s="101">
        <f t="shared" si="3"/>
        <v>0</v>
      </c>
      <c r="J15" s="101">
        <f t="shared" si="3"/>
        <v>2783.333333333333</v>
      </c>
      <c r="K15" s="100"/>
      <c r="L15" s="99">
        <f t="shared" ref="L15:O15" si="4">SUM(L11:L14)</f>
        <v>3340</v>
      </c>
      <c r="M15" s="101">
        <f t="shared" si="4"/>
        <v>2783.333333333333</v>
      </c>
      <c r="N15" s="101">
        <f t="shared" si="4"/>
        <v>2175</v>
      </c>
      <c r="O15" s="101">
        <f t="shared" si="4"/>
        <v>608.33333333333314</v>
      </c>
      <c r="P15" s="17"/>
      <c r="Q15" s="169">
        <f>SUM(C15:P15)</f>
        <v>21153.333333333328</v>
      </c>
      <c r="R15" s="170" t="s">
        <v>173</v>
      </c>
    </row>
    <row r="17" spans="1:3" x14ac:dyDescent="0.25">
      <c r="A17" s="5" t="s">
        <v>164</v>
      </c>
      <c r="C17" s="110">
        <f>Summary!$C$26</f>
        <v>2.4E-2</v>
      </c>
    </row>
  </sheetData>
  <sheetProtection algorithmName="SHA-512" hashValue="YI5ca9sNkuScuJVRk0f0MvYlNBbdt+/Jo6bCZzEOoZ9MsOKmHOYfXknTwYAqM2Dmtj+fqWb70EvjKm53zhXchQ==" saltValue="dSAFaPD2EeWjBFVqVwUrUw==" spinCount="100000" sheet="1" objects="1" scenarios="1"/>
  <mergeCells count="10">
    <mergeCell ref="H6:J6"/>
    <mergeCell ref="M6:O6"/>
    <mergeCell ref="C4:D4"/>
    <mergeCell ref="G4:J4"/>
    <mergeCell ref="L4:O4"/>
    <mergeCell ref="C5:C6"/>
    <mergeCell ref="D5:D6"/>
    <mergeCell ref="F5:F6"/>
    <mergeCell ref="G5:H5"/>
    <mergeCell ref="L5:M5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87" orientation="landscape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S34"/>
  <sheetViews>
    <sheetView showGridLines="0" zoomScale="80" zoomScaleNormal="80" workbookViewId="0"/>
  </sheetViews>
  <sheetFormatPr defaultRowHeight="15" x14ac:dyDescent="0.25"/>
  <cols>
    <col min="1" max="1" width="40.7109375" style="41" customWidth="1"/>
    <col min="2" max="2" width="2.7109375" style="41" customWidth="1"/>
    <col min="3" max="4" width="11.7109375" style="41" customWidth="1"/>
    <col min="5" max="5" width="2.7109375" style="41" customWidth="1"/>
    <col min="6" max="10" width="11.7109375" style="41" customWidth="1"/>
    <col min="11" max="11" width="2.7109375" style="41" customWidth="1"/>
    <col min="12" max="15" width="11.7109375" style="41" customWidth="1"/>
    <col min="16" max="16" width="2.7109375" style="41" customWidth="1"/>
    <col min="17" max="17" width="10.42578125" style="41" customWidth="1"/>
    <col min="18" max="16384" width="9.140625" style="41"/>
  </cols>
  <sheetData>
    <row r="1" spans="1:18" ht="21" x14ac:dyDescent="0.25">
      <c r="A1" s="63" t="s">
        <v>124</v>
      </c>
      <c r="B1" s="64"/>
      <c r="C1" s="66" t="s">
        <v>166</v>
      </c>
      <c r="D1" s="65"/>
      <c r="E1" s="65"/>
      <c r="F1" s="65"/>
      <c r="G1" s="66" t="s">
        <v>231</v>
      </c>
      <c r="H1" s="5"/>
      <c r="I1" s="203">
        <v>8</v>
      </c>
      <c r="J1" s="5"/>
      <c r="K1" s="5"/>
      <c r="L1" s="5"/>
      <c r="M1" s="5"/>
      <c r="N1" s="5"/>
      <c r="O1" s="5"/>
      <c r="P1" s="5"/>
      <c r="Q1" s="5"/>
    </row>
    <row r="2" spans="1:18" x14ac:dyDescent="0.25">
      <c r="A2" s="64"/>
      <c r="B2" s="64"/>
      <c r="C2" s="64"/>
      <c r="D2" s="65"/>
      <c r="E2" s="65"/>
      <c r="F2" s="65"/>
      <c r="G2" s="64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8" ht="21" x14ac:dyDescent="0.25">
      <c r="A3" s="66" t="s">
        <v>242</v>
      </c>
      <c r="B3" s="65"/>
      <c r="C3" s="65"/>
      <c r="D3" s="65"/>
      <c r="E3" s="65"/>
      <c r="F3" s="65"/>
      <c r="G3" s="64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ht="21" x14ac:dyDescent="0.25">
      <c r="A4" s="21"/>
      <c r="B4" s="21"/>
      <c r="C4" s="313">
        <v>2019</v>
      </c>
      <c r="D4" s="313"/>
      <c r="E4" s="22"/>
      <c r="F4" s="21"/>
      <c r="G4" s="313">
        <v>2018</v>
      </c>
      <c r="H4" s="314"/>
      <c r="I4" s="314"/>
      <c r="J4" s="314"/>
      <c r="K4" s="21"/>
      <c r="L4" s="313">
        <v>2017</v>
      </c>
      <c r="M4" s="313"/>
      <c r="N4" s="313"/>
      <c r="O4" s="313"/>
      <c r="P4" s="22"/>
      <c r="Q4" s="23" t="s">
        <v>98</v>
      </c>
    </row>
    <row r="5" spans="1:18" x14ac:dyDescent="0.25">
      <c r="A5" s="31"/>
      <c r="B5" s="31"/>
      <c r="C5" s="315" t="s">
        <v>163</v>
      </c>
      <c r="D5" s="317" t="s">
        <v>44</v>
      </c>
      <c r="E5" s="31"/>
      <c r="F5" s="315" t="s">
        <v>162</v>
      </c>
      <c r="G5" s="321" t="s">
        <v>161</v>
      </c>
      <c r="H5" s="321"/>
      <c r="I5" s="32" t="s">
        <v>117</v>
      </c>
      <c r="J5" s="32" t="s">
        <v>97</v>
      </c>
      <c r="K5" s="31"/>
      <c r="L5" s="321" t="s">
        <v>161</v>
      </c>
      <c r="M5" s="330"/>
      <c r="N5" s="32" t="s">
        <v>117</v>
      </c>
      <c r="O5" s="32" t="s">
        <v>97</v>
      </c>
      <c r="P5" s="32"/>
      <c r="Q5" s="33"/>
    </row>
    <row r="6" spans="1:18" x14ac:dyDescent="0.25">
      <c r="A6" s="31"/>
      <c r="B6" s="31"/>
      <c r="C6" s="332"/>
      <c r="D6" s="318"/>
      <c r="E6" s="31"/>
      <c r="F6" s="319"/>
      <c r="G6" s="34" t="s">
        <v>159</v>
      </c>
      <c r="H6" s="321" t="s">
        <v>160</v>
      </c>
      <c r="I6" s="310"/>
      <c r="J6" s="310"/>
      <c r="K6" s="31"/>
      <c r="L6" s="34" t="s">
        <v>159</v>
      </c>
      <c r="M6" s="321" t="s">
        <v>160</v>
      </c>
      <c r="N6" s="310"/>
      <c r="O6" s="310"/>
      <c r="P6" s="32"/>
      <c r="Q6" s="33"/>
    </row>
    <row r="7" spans="1:18" x14ac:dyDescent="0.25">
      <c r="A7" s="88" t="s">
        <v>20</v>
      </c>
      <c r="B7" s="88"/>
      <c r="C7" s="89"/>
      <c r="D7" s="90"/>
      <c r="E7" s="91"/>
      <c r="F7" s="89"/>
      <c r="G7" s="90"/>
      <c r="H7" s="91"/>
      <c r="I7" s="91"/>
      <c r="J7" s="91"/>
      <c r="K7" s="91"/>
      <c r="L7" s="90"/>
      <c r="M7" s="91"/>
      <c r="N7" s="91"/>
      <c r="O7" s="91"/>
      <c r="P7" s="5"/>
      <c r="Q7" s="5"/>
    </row>
    <row r="8" spans="1:18" x14ac:dyDescent="0.25">
      <c r="A8" s="93" t="s">
        <v>21</v>
      </c>
      <c r="B8" s="93"/>
      <c r="C8" s="94">
        <f>D8-G8</f>
        <v>-10</v>
      </c>
      <c r="D8" s="95">
        <v>635</v>
      </c>
      <c r="E8" s="91"/>
      <c r="F8" s="89">
        <f>G8-L8</f>
        <v>100</v>
      </c>
      <c r="G8" s="95">
        <v>645</v>
      </c>
      <c r="H8" s="96">
        <f>G8/12*10</f>
        <v>537.5</v>
      </c>
      <c r="I8" s="96">
        <v>400</v>
      </c>
      <c r="J8" s="96">
        <f>H8-I8</f>
        <v>137.5</v>
      </c>
      <c r="K8" s="91"/>
      <c r="L8" s="90">
        <v>545</v>
      </c>
      <c r="M8" s="96">
        <f>L8/12*10</f>
        <v>454.16666666666663</v>
      </c>
      <c r="N8" s="91">
        <v>447.63</v>
      </c>
      <c r="O8" s="91">
        <f>M8-N8</f>
        <v>6.5366666666666333</v>
      </c>
      <c r="P8" s="15"/>
      <c r="Q8" s="85"/>
    </row>
    <row r="9" spans="1:18" x14ac:dyDescent="0.25">
      <c r="A9" s="93" t="s">
        <v>14</v>
      </c>
      <c r="B9" s="93" t="s">
        <v>165</v>
      </c>
      <c r="C9" s="94">
        <f>D9-G9</f>
        <v>2.1599999999999966</v>
      </c>
      <c r="D9" s="95">
        <f>G9+(G9*$C$34)</f>
        <v>92.16</v>
      </c>
      <c r="E9" s="91"/>
      <c r="F9" s="89">
        <f t="shared" ref="F9:F11" si="0">G9-L9</f>
        <v>0</v>
      </c>
      <c r="G9" s="95">
        <v>90</v>
      </c>
      <c r="H9" s="96">
        <f>G9/12*10</f>
        <v>75</v>
      </c>
      <c r="I9" s="96">
        <v>60</v>
      </c>
      <c r="J9" s="96">
        <f>H9-I9</f>
        <v>15</v>
      </c>
      <c r="K9" s="91"/>
      <c r="L9" s="90">
        <v>90</v>
      </c>
      <c r="M9" s="96">
        <f>L9/12*10</f>
        <v>75</v>
      </c>
      <c r="N9" s="91">
        <v>75</v>
      </c>
      <c r="O9" s="91">
        <f>M9-N9</f>
        <v>0</v>
      </c>
      <c r="P9" s="15"/>
      <c r="Q9" s="85"/>
      <c r="R9" s="27"/>
    </row>
    <row r="10" spans="1:18" x14ac:dyDescent="0.25">
      <c r="A10" s="93" t="s">
        <v>15</v>
      </c>
      <c r="B10" s="93"/>
      <c r="C10" s="94">
        <f>D10-G10</f>
        <v>-100</v>
      </c>
      <c r="D10" s="95">
        <v>500</v>
      </c>
      <c r="E10" s="91"/>
      <c r="F10" s="89">
        <f t="shared" si="0"/>
        <v>0</v>
      </c>
      <c r="G10" s="95">
        <v>600</v>
      </c>
      <c r="H10" s="96">
        <f>G10/12*10</f>
        <v>500</v>
      </c>
      <c r="I10" s="96">
        <v>362.12</v>
      </c>
      <c r="J10" s="96">
        <f>H10-I10</f>
        <v>137.88</v>
      </c>
      <c r="K10" s="91"/>
      <c r="L10" s="90">
        <v>600</v>
      </c>
      <c r="M10" s="96">
        <f>L10/12*10</f>
        <v>500</v>
      </c>
      <c r="N10" s="91">
        <v>146.16999999999999</v>
      </c>
      <c r="O10" s="91">
        <f>M10-N10</f>
        <v>353.83000000000004</v>
      </c>
      <c r="P10" s="15"/>
      <c r="Q10" s="158"/>
    </row>
    <row r="11" spans="1:18" x14ac:dyDescent="0.25">
      <c r="A11" s="93" t="s">
        <v>153</v>
      </c>
      <c r="B11" s="93"/>
      <c r="C11" s="94">
        <f>D11-G11</f>
        <v>168</v>
      </c>
      <c r="D11" s="95">
        <f>140*1.2</f>
        <v>168</v>
      </c>
      <c r="E11" s="91"/>
      <c r="F11" s="89">
        <f t="shared" si="0"/>
        <v>0</v>
      </c>
      <c r="G11" s="95">
        <v>0</v>
      </c>
      <c r="H11" s="96">
        <f>G11/12*10</f>
        <v>0</v>
      </c>
      <c r="I11" s="96">
        <v>0</v>
      </c>
      <c r="J11" s="96">
        <f>H11-I11</f>
        <v>0</v>
      </c>
      <c r="K11" s="91"/>
      <c r="L11" s="90">
        <v>0</v>
      </c>
      <c r="M11" s="96">
        <f>L11/12*10</f>
        <v>0</v>
      </c>
      <c r="N11" s="91">
        <v>0</v>
      </c>
      <c r="O11" s="91">
        <f>M11-N11</f>
        <v>0</v>
      </c>
      <c r="P11" s="15"/>
      <c r="Q11" s="46"/>
    </row>
    <row r="12" spans="1:18" x14ac:dyDescent="0.25">
      <c r="A12" s="93"/>
      <c r="B12" s="93"/>
      <c r="C12" s="94"/>
      <c r="D12" s="95"/>
      <c r="E12" s="91"/>
      <c r="F12" s="89"/>
      <c r="G12" s="95"/>
      <c r="H12" s="96"/>
      <c r="I12" s="96"/>
      <c r="J12" s="96"/>
      <c r="K12" s="91"/>
      <c r="L12" s="90"/>
      <c r="M12" s="91"/>
      <c r="N12" s="91"/>
      <c r="O12" s="91"/>
      <c r="P12" s="15"/>
      <c r="Q12" s="46"/>
    </row>
    <row r="13" spans="1:18" ht="15.75" thickBot="1" x14ac:dyDescent="0.3">
      <c r="A13" s="88"/>
      <c r="B13" s="88"/>
      <c r="C13" s="98">
        <f>SUM(C7:C12)</f>
        <v>60.16</v>
      </c>
      <c r="D13" s="99">
        <f>SUM(D7:D12)</f>
        <v>1395.1599999999999</v>
      </c>
      <c r="E13" s="100"/>
      <c r="F13" s="98">
        <f t="shared" ref="F13:J13" si="1">SUM(F7:F12)</f>
        <v>100</v>
      </c>
      <c r="G13" s="99">
        <f t="shared" si="1"/>
        <v>1335</v>
      </c>
      <c r="H13" s="101">
        <f t="shared" si="1"/>
        <v>1112.5</v>
      </c>
      <c r="I13" s="101">
        <f t="shared" si="1"/>
        <v>822.12</v>
      </c>
      <c r="J13" s="101">
        <f t="shared" si="1"/>
        <v>290.38</v>
      </c>
      <c r="K13" s="100"/>
      <c r="L13" s="111">
        <f t="shared" ref="L13:O13" si="2">SUM(L7:L12)</f>
        <v>1235</v>
      </c>
      <c r="M13" s="101">
        <f t="shared" si="2"/>
        <v>1029.1666666666665</v>
      </c>
      <c r="N13" s="101">
        <f t="shared" si="2"/>
        <v>668.8</v>
      </c>
      <c r="O13" s="101">
        <f t="shared" si="2"/>
        <v>360.36666666666667</v>
      </c>
      <c r="P13" s="17"/>
      <c r="Q13" s="46"/>
    </row>
    <row r="14" spans="1:18" x14ac:dyDescent="0.25">
      <c r="A14" s="88"/>
      <c r="B14" s="88"/>
      <c r="C14" s="112"/>
      <c r="D14" s="113"/>
      <c r="E14" s="100"/>
      <c r="F14" s="112"/>
      <c r="G14" s="113"/>
      <c r="H14" s="115"/>
      <c r="I14" s="115"/>
      <c r="J14" s="115"/>
      <c r="K14" s="100"/>
      <c r="L14" s="141"/>
      <c r="M14" s="115"/>
      <c r="N14" s="115"/>
      <c r="O14" s="115"/>
      <c r="P14" s="17"/>
      <c r="Q14" s="46"/>
    </row>
    <row r="15" spans="1:18" x14ac:dyDescent="0.25">
      <c r="A15" s="53" t="s">
        <v>23</v>
      </c>
      <c r="C15" s="42"/>
      <c r="D15" s="43"/>
      <c r="F15" s="42"/>
      <c r="G15" s="43"/>
      <c r="L15" s="43"/>
      <c r="Q15" s="46"/>
    </row>
    <row r="16" spans="1:18" x14ac:dyDescent="0.25">
      <c r="A16" s="60" t="s">
        <v>22</v>
      </c>
      <c r="B16" s="93" t="s">
        <v>165</v>
      </c>
      <c r="C16" s="94">
        <f t="shared" ref="C16:C22" si="3">D16-G16</f>
        <v>9.6000000000000227</v>
      </c>
      <c r="D16" s="95">
        <f t="shared" ref="D16:D19" si="4">G16+(G16*$C$34)</f>
        <v>409.6</v>
      </c>
      <c r="F16" s="89">
        <f t="shared" ref="F16:F22" si="5">G16-L16</f>
        <v>-100</v>
      </c>
      <c r="G16" s="45">
        <v>400</v>
      </c>
      <c r="H16" s="96">
        <f t="shared" ref="H16:H22" si="6">G16/12*10</f>
        <v>333.33333333333337</v>
      </c>
      <c r="I16" s="96">
        <v>51.09</v>
      </c>
      <c r="J16" s="96">
        <f t="shared" ref="J16:J22" si="7">H16-I16</f>
        <v>282.24333333333334</v>
      </c>
      <c r="L16" s="45">
        <v>500</v>
      </c>
      <c r="M16" s="96">
        <f t="shared" ref="M16:M22" si="8">L16/12*10</f>
        <v>416.66666666666663</v>
      </c>
      <c r="N16" s="46">
        <v>35</v>
      </c>
      <c r="O16" s="91">
        <f t="shared" ref="O16:O22" si="9">M16-N16</f>
        <v>381.66666666666663</v>
      </c>
      <c r="Q16" s="46"/>
    </row>
    <row r="17" spans="1:19" x14ac:dyDescent="0.25">
      <c r="A17" s="60" t="s">
        <v>16</v>
      </c>
      <c r="B17" s="93" t="s">
        <v>165</v>
      </c>
      <c r="C17" s="94">
        <f t="shared" si="3"/>
        <v>1.2000000000000028</v>
      </c>
      <c r="D17" s="95">
        <f t="shared" si="4"/>
        <v>51.2</v>
      </c>
      <c r="F17" s="89">
        <f t="shared" si="5"/>
        <v>0</v>
      </c>
      <c r="G17" s="45">
        <v>50</v>
      </c>
      <c r="H17" s="96">
        <f t="shared" si="6"/>
        <v>41.666666666666671</v>
      </c>
      <c r="I17" s="96">
        <v>0</v>
      </c>
      <c r="J17" s="96">
        <f t="shared" si="7"/>
        <v>41.666666666666671</v>
      </c>
      <c r="L17" s="45">
        <v>50</v>
      </c>
      <c r="M17" s="96">
        <f t="shared" si="8"/>
        <v>41.666666666666671</v>
      </c>
      <c r="N17" s="46">
        <v>0</v>
      </c>
      <c r="O17" s="91">
        <f t="shared" si="9"/>
        <v>41.666666666666671</v>
      </c>
      <c r="Q17" s="46"/>
    </row>
    <row r="18" spans="1:19" x14ac:dyDescent="0.25">
      <c r="A18" s="60" t="s">
        <v>12</v>
      </c>
      <c r="B18" s="93" t="s">
        <v>165</v>
      </c>
      <c r="C18" s="94">
        <f t="shared" si="3"/>
        <v>2.4000000000000057</v>
      </c>
      <c r="D18" s="95">
        <f t="shared" si="4"/>
        <v>102.4</v>
      </c>
      <c r="F18" s="89">
        <f t="shared" si="5"/>
        <v>47</v>
      </c>
      <c r="G18" s="45">
        <v>100</v>
      </c>
      <c r="H18" s="96">
        <f t="shared" si="6"/>
        <v>83.333333333333343</v>
      </c>
      <c r="I18" s="96">
        <v>90</v>
      </c>
      <c r="J18" s="96">
        <f t="shared" si="7"/>
        <v>-6.6666666666666572</v>
      </c>
      <c r="L18" s="45">
        <v>53</v>
      </c>
      <c r="M18" s="96">
        <f t="shared" si="8"/>
        <v>44.166666666666671</v>
      </c>
      <c r="N18" s="46">
        <v>90</v>
      </c>
      <c r="O18" s="91">
        <f t="shared" si="9"/>
        <v>-45.833333333333329</v>
      </c>
      <c r="Q18" s="46"/>
    </row>
    <row r="19" spans="1:19" x14ac:dyDescent="0.25">
      <c r="A19" s="60" t="s">
        <v>41</v>
      </c>
      <c r="B19" s="93" t="s">
        <v>165</v>
      </c>
      <c r="C19" s="94">
        <f t="shared" si="3"/>
        <v>1.2000000000000028</v>
      </c>
      <c r="D19" s="95">
        <f t="shared" si="4"/>
        <v>51.2</v>
      </c>
      <c r="F19" s="89">
        <f t="shared" si="5"/>
        <v>0</v>
      </c>
      <c r="G19" s="45">
        <v>50</v>
      </c>
      <c r="H19" s="96">
        <f t="shared" si="6"/>
        <v>41.666666666666671</v>
      </c>
      <c r="I19" s="96">
        <v>30</v>
      </c>
      <c r="J19" s="96">
        <f t="shared" si="7"/>
        <v>11.666666666666671</v>
      </c>
      <c r="L19" s="45">
        <v>50</v>
      </c>
      <c r="M19" s="96">
        <f t="shared" si="8"/>
        <v>41.666666666666671</v>
      </c>
      <c r="N19" s="46">
        <v>250</v>
      </c>
      <c r="O19" s="91">
        <f t="shared" si="9"/>
        <v>-208.33333333333331</v>
      </c>
    </row>
    <row r="20" spans="1:19" x14ac:dyDescent="0.25">
      <c r="A20" s="60" t="s">
        <v>123</v>
      </c>
      <c r="C20" s="94">
        <f t="shared" si="3"/>
        <v>-500</v>
      </c>
      <c r="D20" s="45">
        <v>0</v>
      </c>
      <c r="F20" s="89">
        <f t="shared" si="5"/>
        <v>500</v>
      </c>
      <c r="G20" s="45">
        <v>500</v>
      </c>
      <c r="H20" s="96">
        <f t="shared" si="6"/>
        <v>416.66666666666663</v>
      </c>
      <c r="I20" s="96">
        <v>416.7</v>
      </c>
      <c r="J20" s="96">
        <f t="shared" si="7"/>
        <v>-3.333333333335986E-2</v>
      </c>
      <c r="L20" s="45">
        <v>0</v>
      </c>
      <c r="M20" s="96">
        <f t="shared" si="8"/>
        <v>0</v>
      </c>
      <c r="N20" s="46">
        <v>530.4</v>
      </c>
      <c r="O20" s="91">
        <f t="shared" si="9"/>
        <v>-530.4</v>
      </c>
      <c r="Q20" s="46"/>
      <c r="S20" s="58"/>
    </row>
    <row r="21" spans="1:19" x14ac:dyDescent="0.25">
      <c r="A21" s="60" t="s">
        <v>127</v>
      </c>
      <c r="C21" s="94">
        <f t="shared" si="3"/>
        <v>-513.79999999999995</v>
      </c>
      <c r="D21" s="45">
        <v>0</v>
      </c>
      <c r="F21" s="89">
        <f t="shared" si="5"/>
        <v>513.79999999999995</v>
      </c>
      <c r="G21" s="45">
        <v>513.79999999999995</v>
      </c>
      <c r="H21" s="96">
        <f t="shared" si="6"/>
        <v>428.16666666666663</v>
      </c>
      <c r="I21" s="96">
        <v>750</v>
      </c>
      <c r="J21" s="96">
        <f t="shared" si="7"/>
        <v>-321.83333333333337</v>
      </c>
      <c r="L21" s="45">
        <v>0</v>
      </c>
      <c r="M21" s="96">
        <f t="shared" si="8"/>
        <v>0</v>
      </c>
      <c r="N21" s="46">
        <v>0</v>
      </c>
      <c r="O21" s="91">
        <f t="shared" si="9"/>
        <v>0</v>
      </c>
      <c r="Q21" s="280" t="s">
        <v>265</v>
      </c>
    </row>
    <row r="22" spans="1:19" x14ac:dyDescent="0.25">
      <c r="A22" s="60" t="s">
        <v>152</v>
      </c>
      <c r="C22" s="94">
        <f t="shared" si="3"/>
        <v>128.76190476190476</v>
      </c>
      <c r="D22" s="45">
        <f>Reserves!W18</f>
        <v>128.76190476190476</v>
      </c>
      <c r="F22" s="89">
        <f t="shared" si="5"/>
        <v>0</v>
      </c>
      <c r="G22" s="45">
        <v>0</v>
      </c>
      <c r="H22" s="96">
        <f t="shared" si="6"/>
        <v>0</v>
      </c>
      <c r="I22" s="96"/>
      <c r="J22" s="96">
        <f t="shared" si="7"/>
        <v>0</v>
      </c>
      <c r="L22" s="45">
        <v>0</v>
      </c>
      <c r="M22" s="96">
        <f t="shared" si="8"/>
        <v>0</v>
      </c>
      <c r="N22" s="46">
        <v>0</v>
      </c>
      <c r="O22" s="91">
        <f t="shared" si="9"/>
        <v>0</v>
      </c>
      <c r="Q22" s="46"/>
      <c r="R22" s="158"/>
    </row>
    <row r="23" spans="1:19" x14ac:dyDescent="0.25">
      <c r="A23" s="60"/>
      <c r="C23" s="42"/>
      <c r="D23" s="45"/>
      <c r="F23" s="42"/>
      <c r="G23" s="45"/>
      <c r="L23" s="45"/>
      <c r="N23" s="46"/>
      <c r="Q23" s="46"/>
    </row>
    <row r="24" spans="1:19" ht="15.75" thickBot="1" x14ac:dyDescent="0.3">
      <c r="A24" s="148" t="s">
        <v>170</v>
      </c>
      <c r="C24" s="47">
        <f t="shared" ref="C24:D24" si="10">SUM(C15:C23)</f>
        <v>-870.63809523809505</v>
      </c>
      <c r="D24" s="48">
        <f t="shared" si="10"/>
        <v>743.16190476190491</v>
      </c>
      <c r="F24" s="47">
        <f t="shared" ref="F24:J24" si="11">SUM(F15:F23)</f>
        <v>960.8</v>
      </c>
      <c r="G24" s="48">
        <f t="shared" si="11"/>
        <v>1613.8</v>
      </c>
      <c r="H24" s="49">
        <f t="shared" si="11"/>
        <v>1344.8333333333335</v>
      </c>
      <c r="I24" s="49">
        <f t="shared" si="11"/>
        <v>1337.79</v>
      </c>
      <c r="J24" s="49">
        <f t="shared" si="11"/>
        <v>7.0433333333332939</v>
      </c>
      <c r="L24" s="48">
        <f>SUM(L15:L23)</f>
        <v>653</v>
      </c>
      <c r="M24" s="49">
        <f t="shared" ref="M24:O24" si="12">SUM(M15:M23)</f>
        <v>544.16666666666663</v>
      </c>
      <c r="N24" s="49">
        <f t="shared" si="12"/>
        <v>905.4</v>
      </c>
      <c r="O24" s="49">
        <f t="shared" si="12"/>
        <v>-361.23333333333329</v>
      </c>
      <c r="Q24" s="46"/>
    </row>
    <row r="25" spans="1:19" x14ac:dyDescent="0.25">
      <c r="A25" s="44"/>
      <c r="C25" s="42"/>
      <c r="D25" s="50"/>
      <c r="F25" s="42"/>
      <c r="G25" s="50"/>
      <c r="L25" s="50"/>
      <c r="N25" s="51"/>
      <c r="Q25" s="46"/>
    </row>
    <row r="26" spans="1:19" x14ac:dyDescent="0.25">
      <c r="A26" s="60" t="s">
        <v>90</v>
      </c>
      <c r="C26" s="94">
        <f>D26-G26</f>
        <v>0</v>
      </c>
      <c r="D26" s="50">
        <v>440</v>
      </c>
      <c r="F26" s="89">
        <f t="shared" ref="F26" si="13">G26-L26</f>
        <v>0</v>
      </c>
      <c r="G26" s="50">
        <v>440</v>
      </c>
      <c r="H26" s="96">
        <f t="shared" ref="H26" si="14">G26/12*10</f>
        <v>366.66666666666663</v>
      </c>
      <c r="I26" s="96">
        <v>0</v>
      </c>
      <c r="J26" s="96">
        <f t="shared" ref="J26" si="15">H26-I26</f>
        <v>366.66666666666663</v>
      </c>
      <c r="L26" s="50">
        <v>440</v>
      </c>
      <c r="M26" s="96">
        <f>L26/12*10</f>
        <v>366.66666666666663</v>
      </c>
      <c r="N26" s="41">
        <v>0</v>
      </c>
      <c r="O26" s="91">
        <f>M26-N26</f>
        <v>366.66666666666663</v>
      </c>
      <c r="Q26" s="46"/>
    </row>
    <row r="27" spans="1:19" x14ac:dyDescent="0.25">
      <c r="A27" s="44"/>
      <c r="C27" s="42"/>
      <c r="D27" s="43"/>
      <c r="F27" s="42"/>
      <c r="G27" s="43"/>
      <c r="L27" s="43"/>
      <c r="Q27" s="46"/>
    </row>
    <row r="28" spans="1:19" ht="15.75" thickBot="1" x14ac:dyDescent="0.3">
      <c r="A28" s="148" t="s">
        <v>168</v>
      </c>
      <c r="C28" s="47">
        <f t="shared" ref="C28:D28" si="16">C13+C24+C26</f>
        <v>-810.47809523809508</v>
      </c>
      <c r="D28" s="48">
        <f t="shared" si="16"/>
        <v>2578.321904761905</v>
      </c>
      <c r="F28" s="47">
        <f t="shared" ref="F28:J28" si="17">F13+F24+F26</f>
        <v>1060.8</v>
      </c>
      <c r="G28" s="48">
        <f t="shared" si="17"/>
        <v>3388.8</v>
      </c>
      <c r="H28" s="49">
        <f t="shared" si="17"/>
        <v>2824</v>
      </c>
      <c r="I28" s="49">
        <f t="shared" si="17"/>
        <v>2159.91</v>
      </c>
      <c r="J28" s="49">
        <f t="shared" si="17"/>
        <v>664.08999999999992</v>
      </c>
      <c r="L28" s="48">
        <f>L13+L24+L26</f>
        <v>2328</v>
      </c>
      <c r="M28" s="49">
        <f t="shared" ref="M28:O28" si="18">M13+M24+M26</f>
        <v>1939.9999999999995</v>
      </c>
      <c r="N28" s="49">
        <f t="shared" si="18"/>
        <v>1574.1999999999998</v>
      </c>
      <c r="O28" s="49">
        <f t="shared" si="18"/>
        <v>365.8</v>
      </c>
    </row>
    <row r="29" spans="1:19" x14ac:dyDescent="0.25">
      <c r="C29" s="42"/>
      <c r="D29" s="50"/>
      <c r="F29" s="42"/>
      <c r="G29" s="50"/>
      <c r="L29" s="50"/>
      <c r="N29" s="51"/>
    </row>
    <row r="30" spans="1:19" x14ac:dyDescent="0.25">
      <c r="A30" s="60" t="s">
        <v>100</v>
      </c>
      <c r="C30" s="94">
        <f>D30-G30</f>
        <v>-360</v>
      </c>
      <c r="D30" s="45">
        <f>Reserves!F18</f>
        <v>40</v>
      </c>
      <c r="F30" s="89">
        <f t="shared" ref="F30" si="19">G30-L30</f>
        <v>0</v>
      </c>
      <c r="G30" s="45">
        <v>400</v>
      </c>
      <c r="H30" s="96">
        <f t="shared" ref="H30" si="20">G30/12*10</f>
        <v>333.33333333333337</v>
      </c>
      <c r="I30" s="96">
        <v>0</v>
      </c>
      <c r="J30" s="96">
        <f t="shared" ref="J30" si="21">H30-I30</f>
        <v>333.33333333333337</v>
      </c>
      <c r="L30" s="45">
        <v>400</v>
      </c>
      <c r="M30" s="96">
        <f>L30/12*10</f>
        <v>333.33333333333337</v>
      </c>
      <c r="N30" s="46">
        <v>300</v>
      </c>
      <c r="O30" s="91">
        <f>M30-N30</f>
        <v>33.333333333333371</v>
      </c>
      <c r="Q30" s="61"/>
    </row>
    <row r="31" spans="1:19" x14ac:dyDescent="0.25">
      <c r="A31" s="60"/>
      <c r="C31" s="42"/>
      <c r="D31" s="45"/>
      <c r="F31" s="42"/>
      <c r="G31" s="45"/>
      <c r="L31" s="45"/>
      <c r="N31" s="46"/>
      <c r="Q31" s="61"/>
    </row>
    <row r="32" spans="1:19" ht="15.75" thickBot="1" x14ac:dyDescent="0.3">
      <c r="A32" s="148" t="s">
        <v>1</v>
      </c>
      <c r="C32" s="108">
        <f t="shared" ref="C32:D32" si="22">SUM(C28:C31)</f>
        <v>-1170.4780952380952</v>
      </c>
      <c r="D32" s="109">
        <f t="shared" si="22"/>
        <v>2618.321904761905</v>
      </c>
      <c r="F32" s="108">
        <f t="shared" ref="F32:J32" si="23">SUM(F28:F31)</f>
        <v>1060.8</v>
      </c>
      <c r="G32" s="109">
        <f t="shared" si="23"/>
        <v>3788.8</v>
      </c>
      <c r="H32" s="62">
        <f t="shared" si="23"/>
        <v>3157.3333333333335</v>
      </c>
      <c r="I32" s="62">
        <f t="shared" si="23"/>
        <v>2159.91</v>
      </c>
      <c r="J32" s="62">
        <f t="shared" si="23"/>
        <v>997.42333333333329</v>
      </c>
      <c r="L32" s="109">
        <f>SUM(L28:L31)</f>
        <v>2728</v>
      </c>
      <c r="M32" s="62">
        <f t="shared" ref="M32:O32" si="24">SUM(M28:M31)</f>
        <v>2273.333333333333</v>
      </c>
      <c r="N32" s="62">
        <f t="shared" si="24"/>
        <v>1874.1999999999998</v>
      </c>
      <c r="O32" s="62">
        <f t="shared" si="24"/>
        <v>399.13333333333338</v>
      </c>
      <c r="Q32" s="169">
        <f>SUM(C32:P32)</f>
        <v>19886.777142857147</v>
      </c>
      <c r="R32" s="170" t="s">
        <v>173</v>
      </c>
    </row>
    <row r="34" spans="1:4" x14ac:dyDescent="0.25">
      <c r="A34" s="5" t="s">
        <v>164</v>
      </c>
      <c r="C34" s="110">
        <f>Summary!$C$26</f>
        <v>2.4E-2</v>
      </c>
      <c r="D34" s="110"/>
    </row>
  </sheetData>
  <sheetProtection algorithmName="SHA-512" hashValue="kwYZ8+Y7x1cbfrZr9Bb7YiefCLu1YWQ8Ma06E4YvD6l0ahnjFxUG6lOUN5tcq5bT3mXDQni26KizmIxWEzn7Ig==" saltValue="q6ewZl9X83FRS7ulZk9D4g==" spinCount="100000" sheet="1" objects="1" scenarios="1"/>
  <mergeCells count="10">
    <mergeCell ref="C4:D4"/>
    <mergeCell ref="G4:J4"/>
    <mergeCell ref="L4:O4"/>
    <mergeCell ref="C5:C6"/>
    <mergeCell ref="D5:D6"/>
    <mergeCell ref="F5:F6"/>
    <mergeCell ref="G5:H5"/>
    <mergeCell ref="L5:M5"/>
    <mergeCell ref="H6:J6"/>
    <mergeCell ref="M6:O6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87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8"/>
  <sheetViews>
    <sheetView showGridLines="0" tabSelected="1" zoomScale="80" zoomScaleNormal="80" workbookViewId="0"/>
  </sheetViews>
  <sheetFormatPr defaultRowHeight="15" x14ac:dyDescent="0.2"/>
  <cols>
    <col min="1" max="1" width="40.7109375" style="5" customWidth="1"/>
    <col min="2" max="2" width="2.7109375" style="5" customWidth="1"/>
    <col min="3" max="5" width="12.7109375" style="5" customWidth="1"/>
    <col min="6" max="6" width="2.7109375" style="5" customWidth="1"/>
    <col min="7" max="12" width="12.7109375" style="5" customWidth="1"/>
    <col min="13" max="13" width="2.7109375" style="5" customWidth="1"/>
    <col min="14" max="17" width="12.7109375" style="5" customWidth="1"/>
    <col min="18" max="18" width="2.7109375" style="5" customWidth="1"/>
    <col min="19" max="20" width="9.140625" style="5"/>
    <col min="21" max="21" width="4.7109375" style="5" customWidth="1"/>
    <col min="22" max="16384" width="9.140625" style="5"/>
  </cols>
  <sheetData>
    <row r="1" spans="1:21" ht="21" x14ac:dyDescent="0.2">
      <c r="A1" s="63" t="s">
        <v>124</v>
      </c>
      <c r="B1" s="64"/>
      <c r="C1" s="66" t="s">
        <v>166</v>
      </c>
      <c r="D1" s="65"/>
      <c r="E1" s="65"/>
      <c r="F1" s="65"/>
      <c r="G1" s="65"/>
      <c r="H1" s="65"/>
      <c r="I1" s="64"/>
    </row>
    <row r="2" spans="1:21" ht="21" x14ac:dyDescent="0.2">
      <c r="A2" s="66" t="s">
        <v>1</v>
      </c>
      <c r="B2" s="64"/>
      <c r="D2" s="64"/>
      <c r="E2" s="66"/>
      <c r="F2" s="65"/>
      <c r="G2" s="65"/>
      <c r="H2" s="65"/>
      <c r="I2" s="65"/>
      <c r="J2" s="64"/>
    </row>
    <row r="3" spans="1:21" ht="21" x14ac:dyDescent="0.2">
      <c r="A3" s="66" t="s">
        <v>167</v>
      </c>
      <c r="B3" s="65"/>
      <c r="C3" s="65"/>
      <c r="D3" s="65"/>
      <c r="E3" s="65"/>
      <c r="F3" s="65"/>
      <c r="G3" s="65"/>
      <c r="H3" s="65"/>
      <c r="I3" s="64"/>
    </row>
    <row r="4" spans="1:21" ht="21" x14ac:dyDescent="0.2">
      <c r="A4" s="21"/>
      <c r="B4" s="21"/>
      <c r="C4" s="21"/>
      <c r="D4" s="313">
        <v>2019</v>
      </c>
      <c r="E4" s="313"/>
      <c r="F4" s="22"/>
      <c r="G4" s="22"/>
      <c r="H4" s="21"/>
      <c r="I4" s="313">
        <v>2018</v>
      </c>
      <c r="J4" s="314"/>
      <c r="K4" s="314"/>
      <c r="L4" s="314"/>
      <c r="M4" s="21"/>
      <c r="N4" s="313">
        <v>2017</v>
      </c>
      <c r="O4" s="313"/>
      <c r="P4" s="313"/>
      <c r="Q4" s="313"/>
      <c r="R4" s="22"/>
      <c r="S4" s="23"/>
    </row>
    <row r="5" spans="1:21" x14ac:dyDescent="0.2">
      <c r="A5" s="31"/>
      <c r="B5" s="31"/>
      <c r="C5" s="326" t="s">
        <v>174</v>
      </c>
      <c r="D5" s="315" t="s">
        <v>163</v>
      </c>
      <c r="E5" s="317" t="s">
        <v>44</v>
      </c>
      <c r="F5" s="31"/>
      <c r="G5" s="322" t="s">
        <v>175</v>
      </c>
      <c r="H5" s="315" t="s">
        <v>162</v>
      </c>
      <c r="I5" s="320" t="s">
        <v>161</v>
      </c>
      <c r="J5" s="320"/>
      <c r="K5" s="32" t="s">
        <v>117</v>
      </c>
      <c r="L5" s="32" t="s">
        <v>97</v>
      </c>
      <c r="M5" s="31"/>
      <c r="N5" s="320" t="s">
        <v>161</v>
      </c>
      <c r="O5" s="310"/>
      <c r="P5" s="32" t="s">
        <v>117</v>
      </c>
      <c r="Q5" s="32" t="s">
        <v>97</v>
      </c>
      <c r="R5" s="32"/>
      <c r="S5" s="33"/>
    </row>
    <row r="6" spans="1:21" x14ac:dyDescent="0.2">
      <c r="A6" s="31"/>
      <c r="B6" s="31"/>
      <c r="C6" s="327"/>
      <c r="D6" s="316"/>
      <c r="E6" s="318"/>
      <c r="F6" s="31"/>
      <c r="G6" s="323"/>
      <c r="H6" s="319"/>
      <c r="I6" s="34" t="s">
        <v>159</v>
      </c>
      <c r="J6" s="321" t="s">
        <v>160</v>
      </c>
      <c r="K6" s="310"/>
      <c r="L6" s="310"/>
      <c r="M6" s="31"/>
      <c r="N6" s="34" t="s">
        <v>159</v>
      </c>
      <c r="O6" s="321" t="s">
        <v>160</v>
      </c>
      <c r="P6" s="310"/>
      <c r="Q6" s="310"/>
      <c r="R6" s="32"/>
      <c r="S6" s="33"/>
    </row>
    <row r="7" spans="1:21" x14ac:dyDescent="0.2">
      <c r="A7" s="31"/>
      <c r="B7" s="31"/>
      <c r="C7" s="174"/>
      <c r="D7" s="175"/>
      <c r="E7" s="163"/>
      <c r="F7" s="31"/>
      <c r="G7" s="189"/>
      <c r="H7" s="164"/>
      <c r="I7" s="34"/>
      <c r="J7" s="166"/>
      <c r="K7" s="165"/>
      <c r="L7" s="165"/>
      <c r="M7" s="31"/>
      <c r="N7" s="34"/>
      <c r="O7" s="166"/>
      <c r="P7" s="165"/>
      <c r="Q7" s="165"/>
      <c r="R7" s="32"/>
      <c r="S7" s="168" t="s">
        <v>194</v>
      </c>
    </row>
    <row r="8" spans="1:21" ht="15.75" x14ac:dyDescent="0.2">
      <c r="A8" s="190" t="s">
        <v>176</v>
      </c>
      <c r="B8" s="67"/>
      <c r="C8" s="172">
        <f>E8-G8</f>
        <v>14974.200000000012</v>
      </c>
      <c r="D8" s="71">
        <f>'Communal Management Costs'!C76</f>
        <v>4880.2</v>
      </c>
      <c r="E8" s="72">
        <f>'Communal Management Costs'!D76</f>
        <v>143335.20000000001</v>
      </c>
      <c r="F8" s="73"/>
      <c r="G8" s="191">
        <f>89930+38431</f>
        <v>128361</v>
      </c>
      <c r="H8" s="71">
        <f>'Communal Management Costs'!F76</f>
        <v>11365</v>
      </c>
      <c r="I8" s="72">
        <f>'Communal Management Costs'!G76</f>
        <v>138455</v>
      </c>
      <c r="J8" s="73">
        <f>'Communal Management Costs'!H76</f>
        <v>115379.16666666666</v>
      </c>
      <c r="K8" s="73">
        <f>'Communal Management Costs'!I76</f>
        <v>101958.37000000001</v>
      </c>
      <c r="L8" s="73">
        <f>'Communal Management Costs'!J76</f>
        <v>13420.796666666667</v>
      </c>
      <c r="M8" s="73"/>
      <c r="N8" s="72">
        <f>'Communal Management Costs'!L76</f>
        <v>127090</v>
      </c>
      <c r="O8" s="73">
        <f>'Communal Management Costs'!M76</f>
        <v>105908.33333333333</v>
      </c>
      <c r="P8" s="73">
        <f>'Communal Management Costs'!N76</f>
        <v>119176</v>
      </c>
      <c r="Q8" s="73">
        <f>'Communal Management Costs'!O76</f>
        <v>-13267.666666666664</v>
      </c>
      <c r="R8" s="73"/>
      <c r="S8" s="167">
        <f>'Communal Management Costs'!Q76</f>
        <v>867700.4</v>
      </c>
      <c r="T8" s="167">
        <f>SUM(D8:R8)-G8</f>
        <v>867700.4</v>
      </c>
      <c r="U8" s="167">
        <f>S8-T8</f>
        <v>0</v>
      </c>
    </row>
    <row r="9" spans="1:21" ht="15.75" x14ac:dyDescent="0.2">
      <c r="A9" s="190" t="s">
        <v>65</v>
      </c>
      <c r="B9" s="68"/>
      <c r="C9" s="172">
        <f>E9-G9</f>
        <v>10864.918969594088</v>
      </c>
      <c r="D9" s="69">
        <f>'Leisure Suite'!C69</f>
        <v>2595.3189695940914</v>
      </c>
      <c r="E9" s="74">
        <f>'Leisure Suite'!D69</f>
        <v>65278.918969594088</v>
      </c>
      <c r="F9" s="73"/>
      <c r="G9" s="191">
        <v>54414</v>
      </c>
      <c r="H9" s="71">
        <f>'Leisure Suite'!F69</f>
        <v>8808.6</v>
      </c>
      <c r="I9" s="74">
        <f>'Leisure Suite'!G69</f>
        <v>62683.6</v>
      </c>
      <c r="J9" s="70">
        <f>'Leisure Suite'!H69</f>
        <v>52236.333333333328</v>
      </c>
      <c r="K9" s="70">
        <f>'Leisure Suite'!I69</f>
        <v>46917.582999999999</v>
      </c>
      <c r="L9" s="70">
        <f>'Leisure Suite'!J69</f>
        <v>5318.7503333333316</v>
      </c>
      <c r="M9" s="73"/>
      <c r="N9" s="72">
        <f>'Leisure Suite'!L69</f>
        <v>53875</v>
      </c>
      <c r="O9" s="70">
        <f>'Leisure Suite'!M69</f>
        <v>44895.833333333336</v>
      </c>
      <c r="P9" s="73">
        <f>'Leisure Suite'!N69</f>
        <v>57941.08</v>
      </c>
      <c r="Q9" s="73">
        <f>'Leisure Suite'!O69</f>
        <v>-13045.246666666662</v>
      </c>
      <c r="R9" s="70"/>
      <c r="S9" s="167">
        <f>'Leisure Suite'!Q69</f>
        <v>387505.77127252152</v>
      </c>
      <c r="T9" s="167">
        <f>SUM(D9:R9)-G9</f>
        <v>387505.77127252152</v>
      </c>
      <c r="U9" s="167">
        <f>S9-T9</f>
        <v>0</v>
      </c>
    </row>
    <row r="10" spans="1:21" ht="15.75" x14ac:dyDescent="0.2">
      <c r="A10" s="190" t="s">
        <v>2</v>
      </c>
      <c r="B10" s="68"/>
      <c r="C10" s="172">
        <f>E10-G10</f>
        <v>-1022.3100000000049</v>
      </c>
      <c r="D10" s="69">
        <f>Insurance!C16</f>
        <v>5265.6899999999987</v>
      </c>
      <c r="E10" s="74">
        <f>Insurance!D16</f>
        <v>36551.689999999995</v>
      </c>
      <c r="F10" s="73"/>
      <c r="G10" s="191">
        <v>37574</v>
      </c>
      <c r="H10" s="71">
        <f>Insurance!F16</f>
        <v>-5916</v>
      </c>
      <c r="I10" s="74">
        <f>Insurance!G16</f>
        <v>31286</v>
      </c>
      <c r="J10" s="70">
        <f>Insurance!H16</f>
        <v>26071.666666666672</v>
      </c>
      <c r="K10" s="70">
        <f>Insurance!I16</f>
        <v>-1375</v>
      </c>
      <c r="L10" s="70">
        <f>Insurance!J16</f>
        <v>27446.666666666672</v>
      </c>
      <c r="M10" s="73"/>
      <c r="N10" s="72">
        <f>Insurance!L16</f>
        <v>37202</v>
      </c>
      <c r="O10" s="70">
        <f>Insurance!M16</f>
        <v>31001.666666666668</v>
      </c>
      <c r="P10" s="73">
        <f>Insurance!N16</f>
        <v>34604.590000000004</v>
      </c>
      <c r="Q10" s="73">
        <f>Insurance!O16</f>
        <v>-3602.9233333333332</v>
      </c>
      <c r="R10" s="70"/>
      <c r="S10" s="167">
        <f>Insurance!Q16</f>
        <v>218536.04666666663</v>
      </c>
      <c r="T10" s="167">
        <f>SUM(D10:R10)-G10</f>
        <v>218536.04666666663</v>
      </c>
      <c r="U10" s="167">
        <f>S10-T10</f>
        <v>0</v>
      </c>
    </row>
    <row r="11" spans="1:21" ht="15.75" x14ac:dyDescent="0.2">
      <c r="A11" s="190" t="s">
        <v>53</v>
      </c>
      <c r="B11" s="68"/>
      <c r="C11" s="172">
        <f>E11-G11</f>
        <v>95.391746031746152</v>
      </c>
      <c r="D11" s="69">
        <f>Alexandra!C30</f>
        <v>-301.20825396825393</v>
      </c>
      <c r="E11" s="74">
        <f>Alexandra!D30</f>
        <v>1682.3917460317462</v>
      </c>
      <c r="F11" s="73"/>
      <c r="G11" s="191">
        <v>1587</v>
      </c>
      <c r="H11" s="69">
        <f>Alexandra!F30</f>
        <v>412.6</v>
      </c>
      <c r="I11" s="74">
        <f>Alexandra!G30</f>
        <v>1983.6</v>
      </c>
      <c r="J11" s="69">
        <f>Alexandra!H30</f>
        <v>1653.0000000000002</v>
      </c>
      <c r="K11" s="69">
        <f>Alexandra!I30</f>
        <v>3571.45</v>
      </c>
      <c r="L11" s="69">
        <f>Alexandra!J30</f>
        <v>-1918.4500000000003</v>
      </c>
      <c r="M11" s="73"/>
      <c r="N11" s="74">
        <f>Alexandra!L30</f>
        <v>1571</v>
      </c>
      <c r="O11" s="69">
        <f>Alexandra!M30</f>
        <v>1309.1666666666667</v>
      </c>
      <c r="P11" s="69">
        <f>Alexandra!N30</f>
        <v>1816.81</v>
      </c>
      <c r="Q11" s="69">
        <f>Alexandra!O30</f>
        <v>-507.64333333333326</v>
      </c>
      <c r="R11" s="70"/>
      <c r="S11" s="167">
        <f>Alexandra!Q30</f>
        <v>11272.716825396823</v>
      </c>
      <c r="T11" s="167">
        <f>SUM(D11:R11)-G11</f>
        <v>11272.716825396823</v>
      </c>
      <c r="U11" s="167">
        <f>S11-T11</f>
        <v>0</v>
      </c>
    </row>
    <row r="12" spans="1:21" ht="15.75" x14ac:dyDescent="0.2">
      <c r="A12" s="190" t="s">
        <v>54</v>
      </c>
      <c r="B12" s="68"/>
      <c r="C12" s="172">
        <f t="shared" ref="C12:C22" si="0">E12-G12</f>
        <v>135</v>
      </c>
      <c r="D12" s="69">
        <f>'Alexandra Building'!C15</f>
        <v>175</v>
      </c>
      <c r="E12" s="74">
        <f>'Alexandra Building'!D15</f>
        <v>4175</v>
      </c>
      <c r="F12" s="73"/>
      <c r="G12" s="191">
        <v>4040</v>
      </c>
      <c r="H12" s="69">
        <f>'Alexandra Building'!F15</f>
        <v>0</v>
      </c>
      <c r="I12" s="74">
        <f>'Alexandra Building'!G15</f>
        <v>4000</v>
      </c>
      <c r="J12" s="69">
        <f>'Alexandra Building'!H15</f>
        <v>3333.3333333333335</v>
      </c>
      <c r="K12" s="69">
        <f>'Alexandra Building'!I15</f>
        <v>0</v>
      </c>
      <c r="L12" s="69">
        <f>'Alexandra Building'!J15</f>
        <v>3333.3333333333335</v>
      </c>
      <c r="M12" s="73"/>
      <c r="N12" s="74">
        <f>'Alexandra Building'!L15</f>
        <v>4000</v>
      </c>
      <c r="O12" s="69">
        <f>'Alexandra Building'!M15</f>
        <v>3333.6666666666665</v>
      </c>
      <c r="P12" s="69">
        <f>'Alexandra Building'!N15</f>
        <v>2250</v>
      </c>
      <c r="Q12" s="69">
        <f>'Alexandra Building'!O15</f>
        <v>1083.6666666666665</v>
      </c>
      <c r="R12" s="70"/>
      <c r="S12" s="171">
        <f>'Alexandra Building'!Q15</f>
        <v>25684.000000000004</v>
      </c>
      <c r="T12" s="167">
        <f t="shared" ref="T12:T22" si="1">SUM(D12:R12)-G12</f>
        <v>25684.000000000004</v>
      </c>
      <c r="U12" s="167">
        <f t="shared" ref="U12:U22" si="2">S12-T12</f>
        <v>0</v>
      </c>
    </row>
    <row r="13" spans="1:21" ht="15.75" x14ac:dyDescent="0.2">
      <c r="A13" s="190" t="s">
        <v>55</v>
      </c>
      <c r="B13" s="67"/>
      <c r="C13" s="172">
        <f t="shared" si="0"/>
        <v>40.200634920634911</v>
      </c>
      <c r="D13" s="89">
        <f>Cliffe!C31</f>
        <v>-281.59936507936499</v>
      </c>
      <c r="E13" s="90">
        <f>Cliffe!D31</f>
        <v>6442.2006349206349</v>
      </c>
      <c r="F13" s="91"/>
      <c r="G13" s="191">
        <v>6402</v>
      </c>
      <c r="H13" s="89">
        <f>Cliffe!F31</f>
        <v>385.79999999999995</v>
      </c>
      <c r="I13" s="90">
        <f>Cliffe!G31</f>
        <v>6723.8</v>
      </c>
      <c r="J13" s="91">
        <f>Cliffe!H31</f>
        <v>5603.1666666666661</v>
      </c>
      <c r="K13" s="91">
        <f>Cliffe!I31</f>
        <v>1351.98</v>
      </c>
      <c r="L13" s="91">
        <f>Cliffe!J31</f>
        <v>4251.1866666666665</v>
      </c>
      <c r="M13" s="91"/>
      <c r="N13" s="90">
        <f>Cliffe!L31</f>
        <v>6338</v>
      </c>
      <c r="O13" s="91">
        <f>Cliffe!M31</f>
        <v>5281.6666666666661</v>
      </c>
      <c r="P13" s="91">
        <f>Cliffe!N31</f>
        <v>4194.6499999999996</v>
      </c>
      <c r="Q13" s="91">
        <f>Cliffe!O31</f>
        <v>1087.0166666666664</v>
      </c>
      <c r="R13" s="91"/>
      <c r="S13" s="167">
        <f>Cliffe!Q31</f>
        <v>41377.86793650793</v>
      </c>
      <c r="T13" s="167">
        <f t="shared" si="1"/>
        <v>41377.86793650793</v>
      </c>
      <c r="U13" s="167">
        <f t="shared" si="2"/>
        <v>0</v>
      </c>
    </row>
    <row r="14" spans="1:21" ht="15.75" x14ac:dyDescent="0.2">
      <c r="A14" s="190" t="s">
        <v>56</v>
      </c>
      <c r="C14" s="172">
        <f t="shared" si="0"/>
        <v>105.41079365079349</v>
      </c>
      <c r="D14" s="89">
        <f>Edward!C31</f>
        <v>-503.78920634920644</v>
      </c>
      <c r="E14" s="90">
        <f>Edward!D31</f>
        <v>2623.4107936507935</v>
      </c>
      <c r="F14" s="91"/>
      <c r="G14" s="191">
        <v>2518</v>
      </c>
      <c r="H14" s="89">
        <f>Edward!F31</f>
        <v>634.20000000000005</v>
      </c>
      <c r="I14" s="90">
        <f>Edward!G31</f>
        <v>3127.2</v>
      </c>
      <c r="J14" s="91">
        <f>Edward!H31</f>
        <v>2606</v>
      </c>
      <c r="K14" s="91">
        <f>Edward!I31</f>
        <v>1221.0899999999999</v>
      </c>
      <c r="L14" s="91">
        <f>Edward!J31</f>
        <v>1384.91</v>
      </c>
      <c r="M14" s="91"/>
      <c r="N14" s="90">
        <f>Edward!L31</f>
        <v>2493</v>
      </c>
      <c r="O14" s="91">
        <f>Edward!M31</f>
        <v>2077.5</v>
      </c>
      <c r="P14" s="91">
        <f>Edward!N31</f>
        <v>1551.77</v>
      </c>
      <c r="Q14" s="91">
        <f>Edward!O31</f>
        <v>525.73000000000025</v>
      </c>
      <c r="R14" s="91"/>
      <c r="S14" s="167">
        <f>Edward!Q31</f>
        <v>17741.021587301588</v>
      </c>
      <c r="T14" s="167">
        <f t="shared" si="1"/>
        <v>17741.021587301588</v>
      </c>
      <c r="U14" s="167">
        <f t="shared" si="2"/>
        <v>0</v>
      </c>
    </row>
    <row r="15" spans="1:21" ht="15.75" x14ac:dyDescent="0.2">
      <c r="A15" s="190" t="s">
        <v>57</v>
      </c>
      <c r="C15" s="172">
        <f t="shared" si="0"/>
        <v>238.74476190476162</v>
      </c>
      <c r="D15" s="89">
        <f>Kingswood!C35</f>
        <v>-1956.8552380952378</v>
      </c>
      <c r="E15" s="90">
        <f>Kingswood!D35</f>
        <v>8337.7447619047616</v>
      </c>
      <c r="F15" s="91"/>
      <c r="G15" s="191">
        <v>8099</v>
      </c>
      <c r="H15" s="89">
        <f>Kingswood!F35</f>
        <v>2276.6</v>
      </c>
      <c r="I15" s="90">
        <f>Kingswood!G35</f>
        <v>10294.6</v>
      </c>
      <c r="J15" s="91">
        <f>Kingswood!H35</f>
        <v>8578.8333333333321</v>
      </c>
      <c r="K15" s="91">
        <f>Kingswood!I35</f>
        <v>16761.98</v>
      </c>
      <c r="L15" s="91">
        <f>Kingswood!J35</f>
        <v>-12491.480000000001</v>
      </c>
      <c r="M15" s="91"/>
      <c r="N15" s="90">
        <f>Kingswood!L35</f>
        <v>8018</v>
      </c>
      <c r="O15" s="91">
        <f>Kingswood!M35</f>
        <v>6681.6666666666661</v>
      </c>
      <c r="P15" s="91">
        <f>Kingswood!N35</f>
        <v>9380.73</v>
      </c>
      <c r="Q15" s="91">
        <f>Kingswood!O35</f>
        <v>-2699.063333333333</v>
      </c>
      <c r="R15" s="91"/>
      <c r="S15" s="167">
        <f>Kingswood!Q35</f>
        <v>53182.75619047619</v>
      </c>
      <c r="T15" s="167">
        <f t="shared" si="1"/>
        <v>53182.756190476175</v>
      </c>
      <c r="U15" s="167">
        <f t="shared" si="2"/>
        <v>0</v>
      </c>
    </row>
    <row r="16" spans="1:21" ht="15.75" x14ac:dyDescent="0.2">
      <c r="A16" s="192" t="s">
        <v>58</v>
      </c>
      <c r="C16" s="172">
        <f t="shared" si="0"/>
        <v>241.36253968254005</v>
      </c>
      <c r="D16" s="89">
        <f>'Muxlow '!C32</f>
        <v>-2016.8374603174602</v>
      </c>
      <c r="E16" s="90">
        <f>'Muxlow '!D32</f>
        <v>6027.36253968254</v>
      </c>
      <c r="F16" s="91"/>
      <c r="G16" s="191">
        <v>5786</v>
      </c>
      <c r="H16" s="89">
        <f>'Muxlow '!F32</f>
        <v>2316.1999999999998</v>
      </c>
      <c r="I16" s="90">
        <f>'Muxlow '!G32</f>
        <v>8044.2</v>
      </c>
      <c r="J16" s="91">
        <f>'Muxlow '!H32</f>
        <v>6703.5</v>
      </c>
      <c r="K16" s="91">
        <f>'Muxlow '!I32</f>
        <v>2804.02</v>
      </c>
      <c r="L16" s="91">
        <f>'Muxlow '!J32</f>
        <v>3899.48</v>
      </c>
      <c r="M16" s="91"/>
      <c r="N16" s="90">
        <f>'Muxlow '!L32</f>
        <v>5728</v>
      </c>
      <c r="O16" s="91">
        <f>'Muxlow '!M32</f>
        <v>4773.3333333333339</v>
      </c>
      <c r="P16" s="91">
        <f>'Muxlow '!N32</f>
        <v>7196.35</v>
      </c>
      <c r="Q16" s="91">
        <f>'Muxlow '!O32</f>
        <v>-2423.0166666666664</v>
      </c>
      <c r="R16" s="91"/>
      <c r="S16" s="167">
        <f>'Muxlow '!Q32</f>
        <v>43052.591746031743</v>
      </c>
      <c r="T16" s="167">
        <f t="shared" si="1"/>
        <v>43052.591746031743</v>
      </c>
      <c r="U16" s="167">
        <f t="shared" si="2"/>
        <v>0</v>
      </c>
    </row>
    <row r="17" spans="1:21" ht="15.75" x14ac:dyDescent="0.2">
      <c r="A17" s="192" t="s">
        <v>59</v>
      </c>
      <c r="C17" s="172">
        <f t="shared" si="0"/>
        <v>139.83174603174621</v>
      </c>
      <c r="D17" s="89">
        <f>Peveril!C32</f>
        <v>-734.76825396825393</v>
      </c>
      <c r="E17" s="90">
        <f>Peveril!D32</f>
        <v>3895.8317460317462</v>
      </c>
      <c r="F17" s="91"/>
      <c r="G17" s="191">
        <v>3756</v>
      </c>
      <c r="H17" s="89">
        <f>Peveril!F32</f>
        <v>912.6</v>
      </c>
      <c r="I17" s="90">
        <f>Peveril!G32</f>
        <v>4630.6000000000004</v>
      </c>
      <c r="J17" s="91">
        <f>Peveril!H32</f>
        <v>3858.8333333333335</v>
      </c>
      <c r="K17" s="91">
        <f>Peveril!I32</f>
        <v>2032.45</v>
      </c>
      <c r="L17" s="91">
        <f>Peveril!J32</f>
        <v>1826.3833333333332</v>
      </c>
      <c r="M17" s="91"/>
      <c r="N17" s="90">
        <f>Peveril!L32</f>
        <v>3718</v>
      </c>
      <c r="O17" s="91">
        <f>Peveril!M32</f>
        <v>3098.3333333333335</v>
      </c>
      <c r="P17" s="91">
        <f>Peveril!N32</f>
        <v>2726.95</v>
      </c>
      <c r="Q17" s="91">
        <f>Peveril!O32</f>
        <v>-276.63000000000005</v>
      </c>
      <c r="R17" s="91"/>
      <c r="S17" s="167">
        <f>Peveril!Q32</f>
        <v>25688.583492063492</v>
      </c>
      <c r="T17" s="167">
        <f t="shared" si="1"/>
        <v>25688.583492063492</v>
      </c>
      <c r="U17" s="167">
        <f t="shared" si="2"/>
        <v>0</v>
      </c>
    </row>
    <row r="18" spans="1:21" ht="15.75" x14ac:dyDescent="0.2">
      <c r="A18" s="192" t="s">
        <v>60</v>
      </c>
      <c r="C18" s="172">
        <f t="shared" si="0"/>
        <v>164.98095238095266</v>
      </c>
      <c r="D18" s="89">
        <f>'Sheaf 1'!C33</f>
        <v>-1411.0190476190473</v>
      </c>
      <c r="E18" s="90">
        <f>'Sheaf 1'!D33</f>
        <v>5808.9809523809527</v>
      </c>
      <c r="F18" s="91"/>
      <c r="G18" s="191">
        <v>5644</v>
      </c>
      <c r="H18" s="89">
        <f>'Sheaf 1'!F33</f>
        <v>1632</v>
      </c>
      <c r="I18" s="90">
        <f>'Sheaf 1'!G33</f>
        <v>7220</v>
      </c>
      <c r="J18" s="91">
        <f>'Sheaf 1'!H33</f>
        <v>6016.6666666666661</v>
      </c>
      <c r="K18" s="91">
        <f>'Sheaf 1'!I33</f>
        <v>5933.76</v>
      </c>
      <c r="L18" s="91">
        <f>'Sheaf 1'!J33</f>
        <v>82.906666666667206</v>
      </c>
      <c r="M18" s="91"/>
      <c r="N18" s="90">
        <f>'Sheaf 1'!L33</f>
        <v>5588</v>
      </c>
      <c r="O18" s="91">
        <f>'Sheaf 1'!M33</f>
        <v>4656.6666666666661</v>
      </c>
      <c r="P18" s="91">
        <f>'Sheaf 1'!N33</f>
        <v>4397.1499999999996</v>
      </c>
      <c r="Q18" s="91">
        <f>'Sheaf 1'!O33</f>
        <v>259.51666666666654</v>
      </c>
      <c r="R18" s="91"/>
      <c r="S18" s="167">
        <f>'Sheaf 1'!Q33</f>
        <v>40184.628571428577</v>
      </c>
      <c r="T18" s="167">
        <f t="shared" si="1"/>
        <v>40184.62857142857</v>
      </c>
      <c r="U18" s="167">
        <f t="shared" si="2"/>
        <v>0</v>
      </c>
    </row>
    <row r="19" spans="1:21" ht="15.75" x14ac:dyDescent="0.2">
      <c r="A19" s="192" t="s">
        <v>61</v>
      </c>
      <c r="C19" s="172">
        <f t="shared" si="0"/>
        <v>1048.5940462789258</v>
      </c>
      <c r="D19" s="89">
        <f>'Sheaf 2'!C41</f>
        <v>806.19404627892482</v>
      </c>
      <c r="E19" s="90">
        <f>'Sheaf 2'!D41</f>
        <v>21379.594046278926</v>
      </c>
      <c r="F19" s="91"/>
      <c r="G19" s="191">
        <v>20331</v>
      </c>
      <c r="H19" s="89">
        <f>'Sheaf 2'!F41</f>
        <v>444.39999999999981</v>
      </c>
      <c r="I19" s="90">
        <f>'Sheaf 2'!G41</f>
        <v>20573.400000000001</v>
      </c>
      <c r="J19" s="91">
        <f>'Sheaf 2'!H41</f>
        <v>17144.5</v>
      </c>
      <c r="K19" s="91">
        <f>'Sheaf 2'!I41</f>
        <v>9978.43</v>
      </c>
      <c r="L19" s="91">
        <f>'Sheaf 2'!J41</f>
        <v>7166.0699999999988</v>
      </c>
      <c r="M19" s="91"/>
      <c r="N19" s="90">
        <f>'Sheaf 2'!L41</f>
        <v>20129</v>
      </c>
      <c r="O19" s="91">
        <f>'Sheaf 2'!M41</f>
        <v>16774.166666666664</v>
      </c>
      <c r="P19" s="91">
        <f>'Sheaf 2'!N41</f>
        <v>18249.48</v>
      </c>
      <c r="Q19" s="91">
        <f>'Sheaf 2'!O41</f>
        <v>-1475.3133333333335</v>
      </c>
      <c r="R19" s="91"/>
      <c r="S19" s="167">
        <f>'Sheaf 2'!Q41</f>
        <v>131169.9214258912</v>
      </c>
      <c r="T19" s="167">
        <f t="shared" si="1"/>
        <v>131169.9214258912</v>
      </c>
      <c r="U19" s="167">
        <f t="shared" si="2"/>
        <v>0</v>
      </c>
    </row>
    <row r="20" spans="1:21" ht="15.75" x14ac:dyDescent="0.2">
      <c r="A20" s="192" t="s">
        <v>62</v>
      </c>
      <c r="C20" s="172">
        <f t="shared" si="0"/>
        <v>221.84190476190497</v>
      </c>
      <c r="D20" s="89">
        <f>'Sheaf 3 Apts'!C30</f>
        <v>62.841904761904686</v>
      </c>
      <c r="E20" s="90">
        <f>'Sheaf 3 Apts'!D30</f>
        <v>1982.841904761905</v>
      </c>
      <c r="F20" s="91"/>
      <c r="G20" s="191">
        <v>1761</v>
      </c>
      <c r="H20" s="89">
        <f>'Sheaf 3 Apts'!F30</f>
        <v>177</v>
      </c>
      <c r="I20" s="90">
        <f>'Sheaf 3 Apts'!G30</f>
        <v>1920</v>
      </c>
      <c r="J20" s="91">
        <f>'Sheaf 3 Apts'!H30</f>
        <v>1600</v>
      </c>
      <c r="K20" s="91">
        <f>'Sheaf 3 Apts'!I30</f>
        <v>1928.35</v>
      </c>
      <c r="L20" s="91">
        <f>'Sheaf 3 Apts'!J30</f>
        <v>-328.35</v>
      </c>
      <c r="M20" s="91"/>
      <c r="N20" s="90">
        <f>'Sheaf 3 Apts'!L30</f>
        <v>1743</v>
      </c>
      <c r="O20" s="91">
        <f>'Sheaf 3 Apts'!M30</f>
        <v>1452.5</v>
      </c>
      <c r="P20" s="91">
        <f>'Sheaf 3 Apts'!N30</f>
        <v>1138</v>
      </c>
      <c r="Q20" s="91">
        <f>'Sheaf 3 Apts'!O30</f>
        <v>314.50000000000011</v>
      </c>
      <c r="R20" s="91"/>
      <c r="S20" s="167">
        <f>'Sheaf 3 Apts'!Q30</f>
        <v>11990.683809523809</v>
      </c>
      <c r="T20" s="167">
        <f t="shared" si="1"/>
        <v>11990.683809523809</v>
      </c>
      <c r="U20" s="167">
        <f t="shared" si="2"/>
        <v>0</v>
      </c>
    </row>
    <row r="21" spans="1:21" ht="15.75" x14ac:dyDescent="0.2">
      <c r="A21" s="190" t="s">
        <v>63</v>
      </c>
      <c r="C21" s="172">
        <f t="shared" si="0"/>
        <v>-34</v>
      </c>
      <c r="D21" s="89">
        <f>'Sheaf 3 Building'!C15</f>
        <v>0</v>
      </c>
      <c r="E21" s="90">
        <f>'Sheaf 3 Building'!D15</f>
        <v>3340</v>
      </c>
      <c r="F21" s="91"/>
      <c r="G21" s="191">
        <v>3374</v>
      </c>
      <c r="H21" s="89">
        <f>'Sheaf 3 Building'!F15</f>
        <v>0</v>
      </c>
      <c r="I21" s="90">
        <f>'Sheaf 3 Building'!G15</f>
        <v>3340</v>
      </c>
      <c r="J21" s="91">
        <f>'Sheaf 3 Building'!H15</f>
        <v>2783.333333333333</v>
      </c>
      <c r="K21" s="91">
        <f>'Sheaf 3 Building'!I15</f>
        <v>0</v>
      </c>
      <c r="L21" s="91">
        <f>'Sheaf 3 Building'!J15</f>
        <v>2783.333333333333</v>
      </c>
      <c r="M21" s="91"/>
      <c r="N21" s="90">
        <f>'Sheaf 3 Building'!L15</f>
        <v>3340</v>
      </c>
      <c r="O21" s="91">
        <f>'Sheaf 3 Building'!M15</f>
        <v>2783.333333333333</v>
      </c>
      <c r="P21" s="91">
        <f>'Sheaf 3 Building'!N15</f>
        <v>2175</v>
      </c>
      <c r="Q21" s="91">
        <f>'Sheaf 3 Building'!O15</f>
        <v>608.33333333333314</v>
      </c>
      <c r="R21" s="91"/>
      <c r="S21" s="167">
        <f>'Sheaf 3 Building'!Q15</f>
        <v>21153.333333333328</v>
      </c>
      <c r="T21" s="167">
        <f t="shared" si="1"/>
        <v>21153.333333333328</v>
      </c>
      <c r="U21" s="167">
        <f t="shared" si="2"/>
        <v>0</v>
      </c>
    </row>
    <row r="22" spans="1:21" ht="15.75" x14ac:dyDescent="0.2">
      <c r="A22" s="190" t="s">
        <v>64</v>
      </c>
      <c r="C22" s="172">
        <f t="shared" si="0"/>
        <v>-137.67809523809501</v>
      </c>
      <c r="D22" s="89">
        <f>Victoria!C32</f>
        <v>-1170.4780952380952</v>
      </c>
      <c r="E22" s="90">
        <f>Victoria!D32</f>
        <v>2618.321904761905</v>
      </c>
      <c r="F22" s="91"/>
      <c r="G22" s="191">
        <v>2756</v>
      </c>
      <c r="H22" s="89">
        <f>Victoria!F32</f>
        <v>1060.8</v>
      </c>
      <c r="I22" s="90">
        <f>Victoria!G32</f>
        <v>3788.8</v>
      </c>
      <c r="J22" s="91">
        <f>Victoria!H32</f>
        <v>3157.3333333333335</v>
      </c>
      <c r="K22" s="91">
        <f>Victoria!I32</f>
        <v>2159.91</v>
      </c>
      <c r="L22" s="91">
        <f>Victoria!J32</f>
        <v>997.42333333333329</v>
      </c>
      <c r="M22" s="91"/>
      <c r="N22" s="90">
        <f>Victoria!L32</f>
        <v>2728</v>
      </c>
      <c r="O22" s="91">
        <f>Victoria!M32</f>
        <v>2273.333333333333</v>
      </c>
      <c r="P22" s="91">
        <f>Victoria!N32</f>
        <v>1874.1999999999998</v>
      </c>
      <c r="Q22" s="91">
        <f>Victoria!O32</f>
        <v>399.13333333333338</v>
      </c>
      <c r="R22" s="91"/>
      <c r="S22" s="167">
        <f>Victoria!Q32</f>
        <v>19886.777142857147</v>
      </c>
      <c r="T22" s="167">
        <f t="shared" si="1"/>
        <v>19886.777142857147</v>
      </c>
      <c r="U22" s="167">
        <f t="shared" si="2"/>
        <v>0</v>
      </c>
    </row>
    <row r="23" spans="1:21" x14ac:dyDescent="0.2">
      <c r="C23" s="29"/>
      <c r="D23" s="89"/>
      <c r="E23" s="90"/>
      <c r="F23" s="91"/>
      <c r="G23" s="29"/>
      <c r="H23" s="89"/>
      <c r="I23" s="90"/>
      <c r="J23" s="91"/>
      <c r="K23" s="91"/>
      <c r="L23" s="91"/>
      <c r="M23" s="91"/>
      <c r="N23" s="90"/>
      <c r="O23" s="91"/>
      <c r="P23" s="91"/>
      <c r="Q23" s="91"/>
      <c r="R23" s="91"/>
      <c r="S23" s="91"/>
      <c r="T23" s="91"/>
      <c r="U23" s="91"/>
    </row>
    <row r="24" spans="1:21" ht="16.5" thickBot="1" x14ac:dyDescent="0.25">
      <c r="A24" s="193" t="s">
        <v>1</v>
      </c>
      <c r="C24" s="173">
        <f>SUM(C8:C23)</f>
        <v>27076.490000000005</v>
      </c>
      <c r="D24" s="75">
        <f>SUM(D8:D23)</f>
        <v>5408.6899999999987</v>
      </c>
      <c r="E24" s="209">
        <f>SUM(E8:E23)</f>
        <v>313479.48999999993</v>
      </c>
      <c r="F24" s="77"/>
      <c r="G24" s="173">
        <f t="shared" ref="G24:L24" si="3">SUM(G8:G23)</f>
        <v>286403</v>
      </c>
      <c r="H24" s="75">
        <f t="shared" si="3"/>
        <v>24509.8</v>
      </c>
      <c r="I24" s="76">
        <f t="shared" si="3"/>
        <v>308070.8</v>
      </c>
      <c r="J24" s="78">
        <f t="shared" si="3"/>
        <v>256725.66666666672</v>
      </c>
      <c r="K24" s="78">
        <f t="shared" si="3"/>
        <v>195244.37300000005</v>
      </c>
      <c r="L24" s="78">
        <f t="shared" si="3"/>
        <v>57172.960333333351</v>
      </c>
      <c r="M24" s="77"/>
      <c r="N24" s="79">
        <f>SUM(N8:N23)</f>
        <v>283561</v>
      </c>
      <c r="O24" s="78">
        <f>SUM(O8:O23)</f>
        <v>236301.16666666663</v>
      </c>
      <c r="P24" s="78">
        <f>SUM(P8:P23)</f>
        <v>268672.76</v>
      </c>
      <c r="Q24" s="78">
        <f>SUM(Q8:Q23)</f>
        <v>-33019.606666666645</v>
      </c>
      <c r="R24" s="91"/>
      <c r="S24" s="91"/>
      <c r="T24" s="91"/>
      <c r="U24" s="91"/>
    </row>
    <row r="25" spans="1:21" x14ac:dyDescent="0.2">
      <c r="A25" s="15"/>
      <c r="B25" s="15"/>
      <c r="C25" s="15"/>
      <c r="D25" s="15"/>
      <c r="E25" s="15"/>
      <c r="F25" s="15"/>
      <c r="G25" s="269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21" x14ac:dyDescent="0.2">
      <c r="A26" s="5" t="s">
        <v>278</v>
      </c>
      <c r="C26" s="26">
        <v>2.4E-2</v>
      </c>
      <c r="D26" s="9"/>
      <c r="G26" s="194"/>
      <c r="I26" s="91"/>
      <c r="J26" s="25"/>
      <c r="N26" s="15"/>
    </row>
    <row r="27" spans="1:21" x14ac:dyDescent="0.2">
      <c r="I27" s="110"/>
    </row>
    <row r="28" spans="1:21" x14ac:dyDescent="0.2">
      <c r="A28" s="324" t="s">
        <v>177</v>
      </c>
      <c r="B28" s="325"/>
      <c r="C28" s="325"/>
      <c r="D28" s="325"/>
      <c r="E28" s="325"/>
      <c r="F28" s="325"/>
      <c r="G28" s="325"/>
      <c r="I28" s="25"/>
    </row>
    <row r="29" spans="1:21" x14ac:dyDescent="0.2">
      <c r="A29" s="5" t="s">
        <v>178</v>
      </c>
    </row>
    <row r="30" spans="1:21" x14ac:dyDescent="0.2">
      <c r="A30" s="5" t="s">
        <v>179</v>
      </c>
    </row>
    <row r="32" spans="1:21" x14ac:dyDescent="0.2">
      <c r="A32" s="16" t="s">
        <v>204</v>
      </c>
      <c r="B32" s="16"/>
      <c r="C32" s="16"/>
      <c r="D32" s="310" t="s">
        <v>275</v>
      </c>
      <c r="E32" s="311"/>
      <c r="F32" s="16"/>
      <c r="G32" s="310"/>
      <c r="H32" s="311"/>
      <c r="I32" s="16"/>
      <c r="J32" s="16"/>
      <c r="K32" s="16"/>
    </row>
    <row r="33" spans="1:11" x14ac:dyDescent="0.2">
      <c r="A33" s="280" t="s">
        <v>200</v>
      </c>
      <c r="B33" s="280"/>
      <c r="C33" s="280"/>
      <c r="D33" s="91">
        <f>E24-G24</f>
        <v>27076.489999999932</v>
      </c>
      <c r="E33" s="295">
        <f>D33/$G24</f>
        <v>9.4539826747624608E-2</v>
      </c>
      <c r="F33" s="280"/>
      <c r="G33" s="296"/>
      <c r="H33" s="295"/>
      <c r="I33" s="280"/>
      <c r="J33" s="280"/>
      <c r="K33" s="280"/>
    </row>
    <row r="34" spans="1:11" x14ac:dyDescent="0.2">
      <c r="A34" s="280" t="s">
        <v>201</v>
      </c>
      <c r="B34" s="280"/>
      <c r="C34" s="280"/>
      <c r="D34" s="91">
        <f>E24-I24</f>
        <v>5408.6899999999441</v>
      </c>
      <c r="E34" s="295">
        <f>D34/$I24</f>
        <v>1.7556646069669519E-2</v>
      </c>
      <c r="F34" s="280"/>
      <c r="G34" s="296"/>
      <c r="H34" s="295"/>
      <c r="I34" s="280"/>
      <c r="J34" s="280"/>
      <c r="K34" s="280"/>
    </row>
    <row r="35" spans="1:11" x14ac:dyDescent="0.2">
      <c r="A35" s="280"/>
      <c r="B35" s="280"/>
      <c r="C35" s="280"/>
      <c r="D35" s="280"/>
      <c r="E35" s="280"/>
      <c r="F35" s="280"/>
      <c r="G35" s="280"/>
      <c r="H35" s="280"/>
      <c r="I35" s="280"/>
      <c r="J35" s="280"/>
      <c r="K35" s="280"/>
    </row>
    <row r="36" spans="1:11" x14ac:dyDescent="0.2">
      <c r="A36" s="280" t="s">
        <v>203</v>
      </c>
      <c r="B36" s="280"/>
      <c r="C36" s="280"/>
      <c r="D36" s="91">
        <f>I24-N24</f>
        <v>24509.799999999988</v>
      </c>
      <c r="E36" s="295">
        <f>D36/N24</f>
        <v>8.6435722825071101E-2</v>
      </c>
      <c r="F36" s="280"/>
      <c r="G36" s="280"/>
      <c r="H36" s="280"/>
      <c r="I36" s="280"/>
      <c r="J36" s="280"/>
      <c r="K36" s="280"/>
    </row>
    <row r="37" spans="1:11" x14ac:dyDescent="0.2">
      <c r="A37" s="280" t="s">
        <v>202</v>
      </c>
      <c r="B37" s="280"/>
      <c r="C37" s="280"/>
      <c r="D37" s="91">
        <f>G24-N24</f>
        <v>2842</v>
      </c>
      <c r="E37" s="297">
        <f>D37/N24</f>
        <v>1.0022534833774743E-2</v>
      </c>
      <c r="F37" s="280"/>
      <c r="G37" s="280"/>
      <c r="H37" s="280"/>
      <c r="I37" s="280"/>
      <c r="J37" s="280"/>
      <c r="K37" s="280"/>
    </row>
    <row r="38" spans="1:11" x14ac:dyDescent="0.2">
      <c r="A38" s="27"/>
      <c r="B38" s="27"/>
      <c r="C38" s="27"/>
      <c r="D38" s="27"/>
      <c r="E38" s="27"/>
      <c r="F38" s="27"/>
      <c r="G38" s="27"/>
      <c r="H38" s="27"/>
      <c r="I38" s="280"/>
      <c r="J38" s="280"/>
      <c r="K38" s="280"/>
    </row>
    <row r="39" spans="1:11" s="280" customFormat="1" ht="54" customHeight="1" x14ac:dyDescent="0.2">
      <c r="A39" s="312" t="s">
        <v>276</v>
      </c>
      <c r="B39" s="299"/>
      <c r="C39" s="299"/>
      <c r="D39" s="299"/>
      <c r="E39" s="299"/>
    </row>
    <row r="40" spans="1:11" s="16" customFormat="1" ht="36" customHeight="1" x14ac:dyDescent="0.2">
      <c r="A40" s="312" t="s">
        <v>277</v>
      </c>
      <c r="B40" s="299"/>
      <c r="C40" s="299"/>
      <c r="D40" s="299"/>
      <c r="E40" s="299"/>
      <c r="F40" s="270"/>
      <c r="G40" s="280"/>
      <c r="H40" s="110"/>
      <c r="I40" s="280"/>
      <c r="J40" s="280"/>
      <c r="K40" s="280"/>
    </row>
    <row r="41" spans="1:11" x14ac:dyDescent="0.2">
      <c r="A41" s="280"/>
      <c r="B41" s="280"/>
      <c r="C41" s="280"/>
      <c r="D41" s="280"/>
      <c r="E41" s="110"/>
      <c r="F41" s="270"/>
      <c r="G41" s="280"/>
      <c r="H41" s="110"/>
      <c r="I41" s="280"/>
      <c r="J41" s="280"/>
      <c r="K41" s="280"/>
    </row>
    <row r="42" spans="1:11" x14ac:dyDescent="0.2">
      <c r="A42" s="280"/>
      <c r="B42" s="280"/>
      <c r="C42" s="280"/>
      <c r="D42" s="280"/>
      <c r="E42" s="110"/>
      <c r="F42" s="270"/>
      <c r="G42" s="280"/>
      <c r="H42" s="270"/>
      <c r="I42" s="280"/>
      <c r="J42" s="280"/>
      <c r="K42" s="280"/>
    </row>
    <row r="43" spans="1:11" x14ac:dyDescent="0.2">
      <c r="A43" s="280"/>
      <c r="B43" s="280"/>
      <c r="C43" s="280"/>
      <c r="D43" s="280"/>
      <c r="E43" s="110"/>
      <c r="F43" s="270"/>
      <c r="G43" s="280"/>
      <c r="H43" s="280"/>
      <c r="I43" s="280"/>
      <c r="J43" s="280"/>
      <c r="K43" s="280"/>
    </row>
    <row r="44" spans="1:11" x14ac:dyDescent="0.2">
      <c r="A44" s="280"/>
      <c r="B44" s="280"/>
      <c r="C44" s="280"/>
      <c r="D44" s="280"/>
      <c r="E44" s="110"/>
      <c r="F44" s="270"/>
      <c r="G44" s="280"/>
      <c r="H44" s="280"/>
      <c r="I44" s="280"/>
      <c r="J44" s="280"/>
      <c r="K44" s="280"/>
    </row>
    <row r="45" spans="1:11" x14ac:dyDescent="0.2">
      <c r="A45" s="280"/>
      <c r="B45" s="280"/>
      <c r="C45" s="280"/>
      <c r="D45" s="280"/>
      <c r="E45" s="270"/>
      <c r="F45" s="270"/>
      <c r="G45" s="280"/>
      <c r="H45" s="280"/>
      <c r="I45" s="280"/>
      <c r="J45" s="280"/>
      <c r="K45" s="280"/>
    </row>
    <row r="46" spans="1:11" x14ac:dyDescent="0.2">
      <c r="A46" s="280"/>
      <c r="B46" s="280"/>
      <c r="C46" s="280"/>
      <c r="D46" s="280"/>
      <c r="E46" s="280"/>
      <c r="F46" s="280"/>
      <c r="G46" s="280"/>
      <c r="H46" s="280"/>
      <c r="I46" s="280"/>
      <c r="J46" s="280"/>
      <c r="K46" s="280"/>
    </row>
    <row r="47" spans="1:11" x14ac:dyDescent="0.2">
      <c r="A47" s="280"/>
      <c r="B47" s="280"/>
      <c r="C47" s="280"/>
      <c r="D47" s="280"/>
      <c r="E47" s="280"/>
      <c r="F47" s="280"/>
      <c r="G47" s="280"/>
      <c r="H47" s="280"/>
      <c r="I47" s="280"/>
      <c r="J47" s="280"/>
      <c r="K47" s="280"/>
    </row>
    <row r="48" spans="1:11" x14ac:dyDescent="0.2">
      <c r="A48" s="280"/>
      <c r="B48" s="280"/>
      <c r="C48" s="280"/>
      <c r="D48" s="280"/>
      <c r="E48" s="280"/>
      <c r="F48" s="280"/>
      <c r="G48" s="280"/>
      <c r="H48" s="280"/>
      <c r="I48" s="280"/>
      <c r="J48" s="280"/>
      <c r="K48" s="280"/>
    </row>
  </sheetData>
  <sheetProtection algorithmName="SHA-512" hashValue="rxrisMLHypgngdO2bsXv9vDQfG0pPRS3s+aeEaj9+00J4qrJZXORg8xDx3AlvjvLhm1PdMWk0WEiokQtX7+uCg==" saltValue="TeY+g+B9GJ4/7odD3EGTYw==" spinCount="100000" sheet="1" objects="1" scenarios="1"/>
  <mergeCells count="17">
    <mergeCell ref="N4:Q4"/>
    <mergeCell ref="D5:D6"/>
    <mergeCell ref="E5:E6"/>
    <mergeCell ref="H5:H6"/>
    <mergeCell ref="I5:J5"/>
    <mergeCell ref="N5:O5"/>
    <mergeCell ref="J6:L6"/>
    <mergeCell ref="O6:Q6"/>
    <mergeCell ref="G5:G6"/>
    <mergeCell ref="D4:E4"/>
    <mergeCell ref="D32:E32"/>
    <mergeCell ref="G32:H32"/>
    <mergeCell ref="A39:E39"/>
    <mergeCell ref="A40:E40"/>
    <mergeCell ref="I4:L4"/>
    <mergeCell ref="A28:G28"/>
    <mergeCell ref="C5:C6"/>
  </mergeCells>
  <phoneticPr fontId="22" type="noConversion"/>
  <pageMargins left="0.70866141732283472" right="0.70866141732283472" top="0.74803149606299213" bottom="0.15748031496062992" header="0.31496062992125984" footer="0.31496062992125984"/>
  <pageSetup paperSize="9" scale="56" fitToHeight="0" orientation="landscape" horizontalDpi="4294967293" r:id="rId1"/>
  <headerFooter>
    <firstFooter>&amp;C5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78"/>
  <sheetViews>
    <sheetView showGridLines="0" zoomScale="80" zoomScaleNormal="80" workbookViewId="0">
      <pane ySplit="6" topLeftCell="A7" activePane="bottomLeft" state="frozen"/>
      <selection pane="bottomLeft" activeCell="A7" sqref="A7"/>
    </sheetView>
  </sheetViews>
  <sheetFormatPr defaultRowHeight="15" x14ac:dyDescent="0.2"/>
  <cols>
    <col min="1" max="1" width="65.7109375" style="206" customWidth="1"/>
    <col min="2" max="2" width="2.7109375" style="235" customWidth="1"/>
    <col min="3" max="4" width="11.7109375" style="206" customWidth="1"/>
    <col min="5" max="5" width="2.7109375" style="206" customWidth="1"/>
    <col min="6" max="10" width="11.7109375" style="206" customWidth="1"/>
    <col min="11" max="11" width="2.7109375" style="206" customWidth="1"/>
    <col min="12" max="15" width="11.7109375" style="206" customWidth="1"/>
    <col min="16" max="16" width="2.7109375" style="206" customWidth="1"/>
    <col min="17" max="16384" width="9.140625" style="206"/>
  </cols>
  <sheetData>
    <row r="1" spans="1:25" ht="21" x14ac:dyDescent="0.2">
      <c r="A1" s="63" t="s">
        <v>124</v>
      </c>
      <c r="B1" s="64"/>
      <c r="C1" s="66" t="s">
        <v>166</v>
      </c>
      <c r="D1" s="65"/>
      <c r="E1" s="65"/>
      <c r="F1" s="65"/>
      <c r="G1" s="64"/>
    </row>
    <row r="2" spans="1:25" ht="21" x14ac:dyDescent="0.2">
      <c r="A2" s="66"/>
      <c r="B2" s="64"/>
      <c r="C2" s="66"/>
      <c r="D2" s="65"/>
      <c r="E2" s="65"/>
      <c r="F2" s="65"/>
      <c r="G2" s="64"/>
    </row>
    <row r="3" spans="1:25" ht="21" x14ac:dyDescent="0.2">
      <c r="A3" s="66" t="s">
        <v>125</v>
      </c>
      <c r="B3" s="65"/>
      <c r="C3" s="65"/>
      <c r="D3" s="65"/>
      <c r="E3" s="65"/>
      <c r="F3" s="65"/>
      <c r="G3" s="64"/>
    </row>
    <row r="4" spans="1:25" ht="21" x14ac:dyDescent="0.2">
      <c r="A4" s="21"/>
      <c r="B4" s="21"/>
      <c r="C4" s="313">
        <v>2019</v>
      </c>
      <c r="D4" s="313"/>
      <c r="E4" s="202"/>
      <c r="F4" s="21"/>
      <c r="G4" s="313">
        <v>2018</v>
      </c>
      <c r="H4" s="314"/>
      <c r="I4" s="314"/>
      <c r="J4" s="314"/>
      <c r="K4" s="21"/>
      <c r="L4" s="313">
        <v>2017</v>
      </c>
      <c r="M4" s="313"/>
      <c r="N4" s="313"/>
      <c r="O4" s="313"/>
      <c r="P4" s="202"/>
      <c r="Q4" s="23" t="s">
        <v>98</v>
      </c>
    </row>
    <row r="5" spans="1:25" x14ac:dyDescent="0.2">
      <c r="A5" s="31"/>
      <c r="B5" s="31"/>
      <c r="C5" s="328" t="s">
        <v>163</v>
      </c>
      <c r="D5" s="317" t="s">
        <v>44</v>
      </c>
      <c r="E5" s="31"/>
      <c r="F5" s="315" t="s">
        <v>162</v>
      </c>
      <c r="G5" s="321" t="s">
        <v>161</v>
      </c>
      <c r="H5" s="321"/>
      <c r="I5" s="204" t="s">
        <v>117</v>
      </c>
      <c r="J5" s="204" t="s">
        <v>97</v>
      </c>
      <c r="K5" s="31"/>
      <c r="L5" s="321" t="s">
        <v>161</v>
      </c>
      <c r="M5" s="330"/>
      <c r="N5" s="204" t="s">
        <v>117</v>
      </c>
      <c r="O5" s="204" t="s">
        <v>97</v>
      </c>
      <c r="P5" s="204"/>
      <c r="Q5" s="33"/>
    </row>
    <row r="6" spans="1:25" x14ac:dyDescent="0.2">
      <c r="A6" s="31"/>
      <c r="B6" s="31"/>
      <c r="C6" s="329"/>
      <c r="D6" s="318"/>
      <c r="E6" s="31"/>
      <c r="F6" s="319"/>
      <c r="G6" s="34" t="s">
        <v>159</v>
      </c>
      <c r="H6" s="321" t="s">
        <v>160</v>
      </c>
      <c r="I6" s="310"/>
      <c r="J6" s="310"/>
      <c r="K6" s="31"/>
      <c r="L6" s="34" t="s">
        <v>159</v>
      </c>
      <c r="M6" s="321" t="s">
        <v>160</v>
      </c>
      <c r="N6" s="310"/>
      <c r="O6" s="310"/>
      <c r="P6" s="204"/>
      <c r="Q6" s="33"/>
    </row>
    <row r="7" spans="1:25" x14ac:dyDescent="0.2">
      <c r="C7" s="236"/>
      <c r="D7" s="90"/>
      <c r="E7" s="91"/>
      <c r="F7" s="91"/>
      <c r="G7" s="90"/>
      <c r="H7" s="91"/>
      <c r="I7" s="91"/>
      <c r="J7" s="91"/>
      <c r="K7" s="91"/>
      <c r="L7" s="90"/>
      <c r="M7" s="91"/>
      <c r="N7" s="91"/>
      <c r="O7" s="91"/>
    </row>
    <row r="8" spans="1:25" x14ac:dyDescent="0.2">
      <c r="A8" s="4" t="s">
        <v>4</v>
      </c>
      <c r="C8" s="236"/>
      <c r="D8" s="90"/>
      <c r="E8" s="91"/>
      <c r="F8" s="91"/>
      <c r="G8" s="90"/>
      <c r="H8" s="91"/>
      <c r="I8" s="91"/>
      <c r="J8" s="91"/>
      <c r="K8" s="91"/>
      <c r="L8" s="90"/>
      <c r="M8" s="91"/>
      <c r="N8" s="91"/>
      <c r="O8" s="91"/>
      <c r="Q8" s="280"/>
      <c r="R8" s="280"/>
      <c r="S8" s="280"/>
      <c r="T8" s="280"/>
      <c r="U8" s="280"/>
      <c r="V8" s="280"/>
      <c r="W8" s="280"/>
      <c r="X8" s="280"/>
      <c r="Y8" s="280"/>
    </row>
    <row r="9" spans="1:25" ht="15.75" x14ac:dyDescent="0.2">
      <c r="A9" s="3" t="s">
        <v>102</v>
      </c>
      <c r="C9" s="69">
        <f t="shared" ref="C9:C14" si="0">D9-G9</f>
        <v>9730</v>
      </c>
      <c r="D9" s="90">
        <v>83200</v>
      </c>
      <c r="E9" s="91"/>
      <c r="F9" s="71">
        <f t="shared" ref="F9:F14" si="1">G9-L9</f>
        <v>11670</v>
      </c>
      <c r="G9" s="90">
        <v>73470</v>
      </c>
      <c r="H9" s="96">
        <f>G9/12*10</f>
        <v>61225</v>
      </c>
      <c r="I9" s="91">
        <v>61444.07</v>
      </c>
      <c r="J9" s="96">
        <f t="shared" ref="J9:J14" si="2">H9-I9</f>
        <v>-219.06999999999971</v>
      </c>
      <c r="K9" s="91"/>
      <c r="L9" s="237">
        <v>61800</v>
      </c>
      <c r="M9" s="70">
        <f t="shared" ref="M9:M14" si="3">L9/12*10</f>
        <v>51500</v>
      </c>
      <c r="N9" s="73">
        <v>57403</v>
      </c>
      <c r="O9" s="73">
        <f t="shared" ref="O9:O14" si="4">M9-N9</f>
        <v>-5903</v>
      </c>
      <c r="Q9" s="27"/>
      <c r="R9" s="280"/>
      <c r="S9" s="280"/>
      <c r="T9" s="280"/>
      <c r="U9" s="280"/>
      <c r="V9" s="280"/>
      <c r="W9" s="280"/>
      <c r="X9" s="280"/>
      <c r="Y9" s="280"/>
    </row>
    <row r="10" spans="1:25" ht="15.75" x14ac:dyDescent="0.2">
      <c r="A10" s="238" t="s">
        <v>78</v>
      </c>
      <c r="C10" s="69">
        <f t="shared" si="0"/>
        <v>-1000</v>
      </c>
      <c r="D10" s="90">
        <v>1000</v>
      </c>
      <c r="E10" s="91"/>
      <c r="F10" s="71">
        <f t="shared" si="1"/>
        <v>600</v>
      </c>
      <c r="G10" s="90">
        <v>2000</v>
      </c>
      <c r="H10" s="96">
        <f t="shared" ref="H10:H14" si="5">G10/12*10</f>
        <v>1666.6666666666665</v>
      </c>
      <c r="I10" s="91">
        <v>-7.2</v>
      </c>
      <c r="J10" s="96">
        <f t="shared" si="2"/>
        <v>1673.8666666666666</v>
      </c>
      <c r="K10" s="91"/>
      <c r="L10" s="90">
        <v>1400</v>
      </c>
      <c r="M10" s="70">
        <f t="shared" si="3"/>
        <v>1166.6666666666667</v>
      </c>
      <c r="N10" s="73">
        <v>1068</v>
      </c>
      <c r="O10" s="73">
        <f t="shared" si="4"/>
        <v>98.666666666666742</v>
      </c>
      <c r="Q10" s="280" t="s">
        <v>105</v>
      </c>
      <c r="R10" s="280"/>
      <c r="S10" s="280"/>
      <c r="T10" s="280"/>
      <c r="U10" s="280"/>
      <c r="V10" s="280"/>
      <c r="W10" s="280"/>
      <c r="X10" s="280"/>
      <c r="Y10" s="280"/>
    </row>
    <row r="11" spans="1:25" ht="15.75" x14ac:dyDescent="0.2">
      <c r="A11" s="238" t="s">
        <v>77</v>
      </c>
      <c r="C11" s="69">
        <f t="shared" si="0"/>
        <v>0</v>
      </c>
      <c r="D11" s="90">
        <v>500</v>
      </c>
      <c r="E11" s="91"/>
      <c r="F11" s="71">
        <f t="shared" si="1"/>
        <v>0</v>
      </c>
      <c r="G11" s="90">
        <v>500</v>
      </c>
      <c r="H11" s="96">
        <f t="shared" si="5"/>
        <v>416.66666666666663</v>
      </c>
      <c r="I11" s="91">
        <v>60</v>
      </c>
      <c r="J11" s="96">
        <f t="shared" si="2"/>
        <v>356.66666666666663</v>
      </c>
      <c r="K11" s="91"/>
      <c r="L11" s="90">
        <v>500</v>
      </c>
      <c r="M11" s="70">
        <f t="shared" si="3"/>
        <v>416.66666666666663</v>
      </c>
      <c r="N11" s="73">
        <v>745</v>
      </c>
      <c r="O11" s="73">
        <f t="shared" si="4"/>
        <v>-328.33333333333337</v>
      </c>
      <c r="Q11" s="280" t="s">
        <v>106</v>
      </c>
      <c r="R11" s="280"/>
      <c r="S11" s="280"/>
      <c r="T11" s="280"/>
      <c r="U11" s="280"/>
      <c r="V11" s="280"/>
      <c r="W11" s="280"/>
      <c r="X11" s="280"/>
      <c r="Y11" s="280"/>
    </row>
    <row r="12" spans="1:25" ht="15.75" x14ac:dyDescent="0.2">
      <c r="A12" s="238" t="s">
        <v>40</v>
      </c>
      <c r="C12" s="69">
        <f t="shared" si="0"/>
        <v>0</v>
      </c>
      <c r="D12" s="90">
        <v>600</v>
      </c>
      <c r="E12" s="91"/>
      <c r="F12" s="71">
        <f t="shared" si="1"/>
        <v>0</v>
      </c>
      <c r="G12" s="90">
        <v>600</v>
      </c>
      <c r="H12" s="96">
        <f t="shared" si="5"/>
        <v>500</v>
      </c>
      <c r="I12" s="91">
        <v>479.28</v>
      </c>
      <c r="J12" s="96">
        <f t="shared" si="2"/>
        <v>20.720000000000027</v>
      </c>
      <c r="K12" s="91"/>
      <c r="L12" s="90">
        <v>600</v>
      </c>
      <c r="M12" s="70">
        <f t="shared" si="3"/>
        <v>500</v>
      </c>
      <c r="N12" s="73">
        <v>350</v>
      </c>
      <c r="O12" s="73">
        <f t="shared" si="4"/>
        <v>150</v>
      </c>
      <c r="Q12" s="280" t="s">
        <v>107</v>
      </c>
      <c r="R12" s="280"/>
      <c r="S12" s="280"/>
      <c r="T12" s="280"/>
      <c r="U12" s="280"/>
      <c r="V12" s="280"/>
      <c r="W12" s="280"/>
      <c r="X12" s="280"/>
      <c r="Y12" s="280"/>
    </row>
    <row r="13" spans="1:25" ht="15.75" x14ac:dyDescent="0.2">
      <c r="A13" s="3" t="s">
        <v>71</v>
      </c>
      <c r="C13" s="69">
        <f t="shared" si="0"/>
        <v>-280</v>
      </c>
      <c r="D13" s="90">
        <v>0</v>
      </c>
      <c r="E13" s="91"/>
      <c r="F13" s="71">
        <f t="shared" si="1"/>
        <v>0</v>
      </c>
      <c r="G13" s="90">
        <v>280</v>
      </c>
      <c r="H13" s="96">
        <f t="shared" si="5"/>
        <v>233.33333333333331</v>
      </c>
      <c r="I13" s="91">
        <v>46.4</v>
      </c>
      <c r="J13" s="96">
        <f t="shared" si="2"/>
        <v>186.93333333333331</v>
      </c>
      <c r="K13" s="91"/>
      <c r="L13" s="90">
        <v>280</v>
      </c>
      <c r="M13" s="70">
        <f t="shared" si="3"/>
        <v>233.33333333333331</v>
      </c>
      <c r="N13" s="73">
        <v>232</v>
      </c>
      <c r="O13" s="73">
        <f t="shared" si="4"/>
        <v>1.3333333333333144</v>
      </c>
      <c r="Q13" s="280"/>
      <c r="R13" s="280"/>
      <c r="S13" s="280"/>
      <c r="T13" s="280"/>
      <c r="U13" s="280"/>
      <c r="V13" s="280"/>
      <c r="W13" s="280"/>
      <c r="X13" s="280"/>
      <c r="Y13" s="280"/>
    </row>
    <row r="14" spans="1:25" ht="15.75" x14ac:dyDescent="0.2">
      <c r="A14" s="238" t="s">
        <v>92</v>
      </c>
      <c r="C14" s="69">
        <f t="shared" si="0"/>
        <v>0</v>
      </c>
      <c r="D14" s="90">
        <v>100</v>
      </c>
      <c r="E14" s="91"/>
      <c r="F14" s="71">
        <f t="shared" si="1"/>
        <v>100</v>
      </c>
      <c r="G14" s="90">
        <v>100</v>
      </c>
      <c r="H14" s="96">
        <f t="shared" si="5"/>
        <v>83.333333333333343</v>
      </c>
      <c r="I14" s="91">
        <v>0</v>
      </c>
      <c r="J14" s="96">
        <f t="shared" si="2"/>
        <v>83.333333333333343</v>
      </c>
      <c r="K14" s="91"/>
      <c r="L14" s="90">
        <v>0</v>
      </c>
      <c r="M14" s="70">
        <f t="shared" si="3"/>
        <v>0</v>
      </c>
      <c r="N14" s="73">
        <v>52</v>
      </c>
      <c r="O14" s="73">
        <f t="shared" si="4"/>
        <v>-52</v>
      </c>
      <c r="Q14" s="280" t="s">
        <v>254</v>
      </c>
      <c r="R14" s="280"/>
      <c r="S14" s="280"/>
      <c r="T14" s="280"/>
      <c r="U14" s="280"/>
      <c r="V14" s="280"/>
      <c r="W14" s="280"/>
      <c r="X14" s="280"/>
      <c r="Y14" s="280"/>
    </row>
    <row r="15" spans="1:25" x14ac:dyDescent="0.2">
      <c r="C15" s="89"/>
      <c r="D15" s="90"/>
      <c r="E15" s="91"/>
      <c r="F15" s="89"/>
      <c r="G15" s="90"/>
      <c r="H15" s="91"/>
      <c r="I15" s="91"/>
      <c r="J15" s="91"/>
      <c r="K15" s="91"/>
      <c r="L15" s="90"/>
      <c r="M15" s="91"/>
      <c r="N15" s="91"/>
      <c r="O15" s="91"/>
      <c r="Q15" s="280"/>
      <c r="R15" s="280"/>
      <c r="S15" s="280"/>
      <c r="T15" s="280"/>
      <c r="U15" s="280"/>
      <c r="V15" s="280"/>
      <c r="W15" s="280"/>
      <c r="X15" s="280"/>
      <c r="Y15" s="280"/>
    </row>
    <row r="16" spans="1:25" ht="15.75" thickBot="1" x14ac:dyDescent="0.25">
      <c r="A16" s="193" t="s">
        <v>180</v>
      </c>
      <c r="C16" s="239">
        <f t="shared" ref="C16:D16" si="6">SUM(C8:C15)</f>
        <v>8450</v>
      </c>
      <c r="D16" s="111">
        <f t="shared" si="6"/>
        <v>85400</v>
      </c>
      <c r="E16" s="91"/>
      <c r="F16" s="239">
        <f t="shared" ref="F16:J16" si="7">SUM(F8:F15)</f>
        <v>12370</v>
      </c>
      <c r="G16" s="111">
        <f t="shared" si="7"/>
        <v>76950</v>
      </c>
      <c r="H16" s="240">
        <f t="shared" si="7"/>
        <v>64125</v>
      </c>
      <c r="I16" s="240">
        <f t="shared" si="7"/>
        <v>62022.55</v>
      </c>
      <c r="J16" s="240">
        <f t="shared" si="7"/>
        <v>2102.4500000000003</v>
      </c>
      <c r="K16" s="91"/>
      <c r="L16" s="111">
        <f>SUM(L8:L15)</f>
        <v>64580</v>
      </c>
      <c r="M16" s="240">
        <f t="shared" ref="M16:O16" si="8">SUM(M8:M15)</f>
        <v>53816.666666666664</v>
      </c>
      <c r="N16" s="240">
        <f t="shared" si="8"/>
        <v>59850</v>
      </c>
      <c r="O16" s="240">
        <f t="shared" si="8"/>
        <v>-6033.333333333333</v>
      </c>
      <c r="Q16" s="280"/>
      <c r="R16" s="280"/>
      <c r="S16" s="280"/>
      <c r="T16" s="280"/>
      <c r="U16" s="280"/>
      <c r="V16" s="280"/>
      <c r="W16" s="280"/>
      <c r="X16" s="280"/>
      <c r="Y16" s="280"/>
    </row>
    <row r="17" spans="1:25" x14ac:dyDescent="0.2">
      <c r="A17" s="241"/>
      <c r="C17" s="242"/>
      <c r="D17" s="141"/>
      <c r="E17" s="91"/>
      <c r="F17" s="242"/>
      <c r="G17" s="141"/>
      <c r="H17" s="210"/>
      <c r="I17" s="210"/>
      <c r="J17" s="210"/>
      <c r="K17" s="91"/>
      <c r="L17" s="141"/>
      <c r="M17" s="210"/>
      <c r="N17" s="210"/>
      <c r="O17" s="210"/>
      <c r="Q17" s="280"/>
      <c r="R17" s="280"/>
      <c r="S17" s="280"/>
      <c r="T17" s="280"/>
      <c r="U17" s="280"/>
      <c r="V17" s="280"/>
      <c r="W17" s="280"/>
      <c r="X17" s="280"/>
      <c r="Y17" s="280"/>
    </row>
    <row r="18" spans="1:25" x14ac:dyDescent="0.2">
      <c r="A18" s="7" t="s">
        <v>36</v>
      </c>
      <c r="C18" s="242"/>
      <c r="D18" s="141"/>
      <c r="E18" s="91"/>
      <c r="F18" s="242"/>
      <c r="G18" s="141"/>
      <c r="H18" s="210"/>
      <c r="I18" s="210"/>
      <c r="J18" s="210"/>
      <c r="K18" s="91"/>
      <c r="L18" s="141"/>
      <c r="M18" s="210"/>
      <c r="N18" s="210"/>
      <c r="O18" s="210"/>
      <c r="Q18" s="280"/>
      <c r="R18" s="280"/>
      <c r="S18" s="280"/>
      <c r="T18" s="280"/>
      <c r="U18" s="280"/>
      <c r="V18" s="280"/>
      <c r="W18" s="280"/>
      <c r="X18" s="280"/>
      <c r="Y18" s="280"/>
    </row>
    <row r="19" spans="1:25" ht="15.75" x14ac:dyDescent="0.2">
      <c r="A19" s="8" t="s">
        <v>11</v>
      </c>
      <c r="C19" s="69">
        <f t="shared" ref="C19:C25" si="9">D19-G19</f>
        <v>-1000</v>
      </c>
      <c r="D19" s="90">
        <v>1000</v>
      </c>
      <c r="E19" s="91"/>
      <c r="F19" s="71">
        <f t="shared" ref="F19:F25" si="10">G19-L19</f>
        <v>-900</v>
      </c>
      <c r="G19" s="90">
        <v>2000</v>
      </c>
      <c r="H19" s="96">
        <f t="shared" ref="H19:H25" si="11">G19/12*10</f>
        <v>1666.6666666666665</v>
      </c>
      <c r="I19" s="91">
        <v>411.48</v>
      </c>
      <c r="J19" s="96">
        <f t="shared" ref="J19:J25" si="12">H19-I19</f>
        <v>1255.1866666666665</v>
      </c>
      <c r="K19" s="91"/>
      <c r="L19" s="90">
        <v>2900</v>
      </c>
      <c r="M19" s="70">
        <f t="shared" ref="M19:M25" si="13">L19/12*10</f>
        <v>2416.6666666666665</v>
      </c>
      <c r="N19" s="73">
        <v>1186</v>
      </c>
      <c r="O19" s="73">
        <f t="shared" ref="O19:O25" si="14">M19-N19</f>
        <v>1230.6666666666665</v>
      </c>
      <c r="Q19" s="280" t="s">
        <v>255</v>
      </c>
      <c r="R19" s="280"/>
      <c r="S19" s="280"/>
      <c r="T19" s="280"/>
      <c r="U19" s="280"/>
      <c r="V19" s="280"/>
      <c r="W19" s="280"/>
      <c r="X19" s="280"/>
      <c r="Y19" s="280"/>
    </row>
    <row r="20" spans="1:25" ht="15.75" x14ac:dyDescent="0.2">
      <c r="A20" s="8" t="s">
        <v>75</v>
      </c>
      <c r="C20" s="69">
        <f t="shared" si="9"/>
        <v>-500</v>
      </c>
      <c r="D20" s="90">
        <v>1500</v>
      </c>
      <c r="E20" s="91"/>
      <c r="F20" s="71">
        <f t="shared" si="10"/>
        <v>0</v>
      </c>
      <c r="G20" s="90">
        <v>2000</v>
      </c>
      <c r="H20" s="96">
        <f t="shared" si="11"/>
        <v>1666.6666666666665</v>
      </c>
      <c r="I20" s="91">
        <v>1038.7</v>
      </c>
      <c r="J20" s="96">
        <f t="shared" si="12"/>
        <v>627.96666666666647</v>
      </c>
      <c r="K20" s="91"/>
      <c r="L20" s="90">
        <v>2000</v>
      </c>
      <c r="M20" s="70">
        <f t="shared" si="13"/>
        <v>1666.6666666666665</v>
      </c>
      <c r="N20" s="73">
        <v>857</v>
      </c>
      <c r="O20" s="73">
        <f t="shared" si="14"/>
        <v>809.66666666666652</v>
      </c>
      <c r="Q20" s="280" t="s">
        <v>110</v>
      </c>
      <c r="R20" s="280"/>
      <c r="S20" s="280"/>
      <c r="T20" s="280"/>
      <c r="U20" s="280"/>
      <c r="V20" s="280"/>
      <c r="W20" s="280"/>
      <c r="X20" s="280"/>
      <c r="Y20" s="280"/>
    </row>
    <row r="21" spans="1:25" ht="15.75" x14ac:dyDescent="0.2">
      <c r="A21" s="8" t="s">
        <v>142</v>
      </c>
      <c r="C21" s="69">
        <f t="shared" si="9"/>
        <v>880</v>
      </c>
      <c r="D21" s="90">
        <v>14680</v>
      </c>
      <c r="E21" s="91"/>
      <c r="F21" s="71">
        <f t="shared" si="10"/>
        <v>1200</v>
      </c>
      <c r="G21" s="90">
        <v>13800</v>
      </c>
      <c r="H21" s="96">
        <f t="shared" si="11"/>
        <v>11500</v>
      </c>
      <c r="I21" s="91">
        <v>11510.79</v>
      </c>
      <c r="J21" s="96">
        <f t="shared" si="12"/>
        <v>-10.790000000000873</v>
      </c>
      <c r="K21" s="91"/>
      <c r="L21" s="90">
        <v>12600</v>
      </c>
      <c r="M21" s="70">
        <f t="shared" si="13"/>
        <v>10500</v>
      </c>
      <c r="N21" s="73">
        <v>11740</v>
      </c>
      <c r="O21" s="73">
        <f t="shared" si="14"/>
        <v>-1240</v>
      </c>
      <c r="Q21" s="280" t="s">
        <v>256</v>
      </c>
      <c r="R21" s="280"/>
      <c r="S21" s="280"/>
      <c r="T21" s="280"/>
      <c r="U21" s="280"/>
      <c r="V21" s="280"/>
      <c r="W21" s="280"/>
      <c r="X21" s="280"/>
      <c r="Y21" s="280"/>
    </row>
    <row r="22" spans="1:25" ht="15.75" x14ac:dyDescent="0.2">
      <c r="A22" s="188" t="s">
        <v>10</v>
      </c>
      <c r="C22" s="69">
        <f t="shared" si="9"/>
        <v>0</v>
      </c>
      <c r="D22" s="90">
        <v>300</v>
      </c>
      <c r="E22" s="91"/>
      <c r="F22" s="71">
        <f t="shared" si="10"/>
        <v>0</v>
      </c>
      <c r="G22" s="90">
        <v>300</v>
      </c>
      <c r="H22" s="96">
        <f t="shared" si="11"/>
        <v>250</v>
      </c>
      <c r="I22" s="91">
        <v>0</v>
      </c>
      <c r="J22" s="96">
        <f t="shared" si="12"/>
        <v>250</v>
      </c>
      <c r="K22" s="91"/>
      <c r="L22" s="90">
        <v>300</v>
      </c>
      <c r="M22" s="70">
        <f t="shared" si="13"/>
        <v>250</v>
      </c>
      <c r="N22" s="73">
        <v>320</v>
      </c>
      <c r="O22" s="73">
        <f t="shared" si="14"/>
        <v>-70</v>
      </c>
      <c r="Q22" s="280" t="s">
        <v>111</v>
      </c>
      <c r="R22" s="280"/>
      <c r="S22" s="280"/>
      <c r="T22" s="27"/>
      <c r="U22" s="280"/>
      <c r="V22" s="280"/>
      <c r="W22" s="280"/>
      <c r="X22" s="280"/>
      <c r="Y22" s="280"/>
    </row>
    <row r="23" spans="1:25" ht="15.75" x14ac:dyDescent="0.2">
      <c r="A23" s="246" t="s">
        <v>3</v>
      </c>
      <c r="C23" s="69">
        <f t="shared" si="9"/>
        <v>0</v>
      </c>
      <c r="D23" s="90">
        <v>500</v>
      </c>
      <c r="E23" s="91"/>
      <c r="F23" s="71">
        <f t="shared" si="10"/>
        <v>50</v>
      </c>
      <c r="G23" s="90">
        <v>500</v>
      </c>
      <c r="H23" s="96">
        <f t="shared" si="11"/>
        <v>416.66666666666663</v>
      </c>
      <c r="I23" s="91">
        <v>298.36</v>
      </c>
      <c r="J23" s="96">
        <f t="shared" si="12"/>
        <v>118.30666666666662</v>
      </c>
      <c r="K23" s="91"/>
      <c r="L23" s="90">
        <v>450</v>
      </c>
      <c r="M23" s="70">
        <f t="shared" si="13"/>
        <v>375</v>
      </c>
      <c r="N23" s="73">
        <v>2978</v>
      </c>
      <c r="O23" s="73">
        <f t="shared" si="14"/>
        <v>-2603</v>
      </c>
      <c r="Q23" s="280" t="s">
        <v>112</v>
      </c>
      <c r="R23" s="280"/>
      <c r="S23" s="280"/>
      <c r="T23" s="280"/>
      <c r="U23" s="280"/>
      <c r="V23" s="280"/>
      <c r="W23" s="280"/>
      <c r="X23" s="280"/>
      <c r="Y23" s="280"/>
    </row>
    <row r="24" spans="1:25" ht="15.75" x14ac:dyDescent="0.2">
      <c r="A24" s="246" t="s">
        <v>39</v>
      </c>
      <c r="C24" s="69">
        <f t="shared" si="9"/>
        <v>-1545</v>
      </c>
      <c r="D24" s="90">
        <v>300</v>
      </c>
      <c r="E24" s="91"/>
      <c r="F24" s="71">
        <f t="shared" si="10"/>
        <v>1545</v>
      </c>
      <c r="G24" s="90">
        <v>1845</v>
      </c>
      <c r="H24" s="96">
        <f t="shared" si="11"/>
        <v>1537.5</v>
      </c>
      <c r="I24" s="91">
        <v>216.83</v>
      </c>
      <c r="J24" s="96">
        <f t="shared" si="12"/>
        <v>1320.67</v>
      </c>
      <c r="K24" s="91"/>
      <c r="L24" s="90">
        <v>300</v>
      </c>
      <c r="M24" s="70">
        <f t="shared" si="13"/>
        <v>250</v>
      </c>
      <c r="N24" s="73">
        <v>248</v>
      </c>
      <c r="O24" s="73">
        <f t="shared" si="14"/>
        <v>2</v>
      </c>
      <c r="Q24" s="280"/>
      <c r="R24" s="280"/>
      <c r="S24" s="280"/>
      <c r="T24" s="280"/>
      <c r="U24" s="280"/>
      <c r="V24" s="280"/>
      <c r="W24" s="280"/>
      <c r="X24" s="280"/>
      <c r="Y24" s="280"/>
    </row>
    <row r="25" spans="1:25" ht="15.75" x14ac:dyDescent="0.2">
      <c r="A25" s="246" t="s">
        <v>118</v>
      </c>
      <c r="B25" s="235" t="s">
        <v>165</v>
      </c>
      <c r="C25" s="69">
        <f t="shared" si="9"/>
        <v>8.3999999999999773</v>
      </c>
      <c r="D25" s="95">
        <f>G25+(G25*$C$78)</f>
        <v>358.4</v>
      </c>
      <c r="E25" s="91"/>
      <c r="F25" s="71">
        <f t="shared" si="10"/>
        <v>350</v>
      </c>
      <c r="G25" s="90">
        <v>350</v>
      </c>
      <c r="H25" s="96">
        <f t="shared" si="11"/>
        <v>291.66666666666669</v>
      </c>
      <c r="I25" s="91">
        <v>0</v>
      </c>
      <c r="J25" s="96">
        <f t="shared" si="12"/>
        <v>291.66666666666669</v>
      </c>
      <c r="K25" s="91"/>
      <c r="L25" s="90">
        <v>0</v>
      </c>
      <c r="M25" s="70">
        <f t="shared" si="13"/>
        <v>0</v>
      </c>
      <c r="N25" s="73">
        <v>114</v>
      </c>
      <c r="O25" s="73">
        <f t="shared" si="14"/>
        <v>-114</v>
      </c>
      <c r="Q25" s="280"/>
      <c r="R25" s="280"/>
      <c r="S25" s="280"/>
      <c r="T25" s="280"/>
      <c r="U25" s="280"/>
      <c r="V25" s="280"/>
      <c r="W25" s="280"/>
      <c r="X25" s="280"/>
      <c r="Y25" s="280"/>
    </row>
    <row r="26" spans="1:25" x14ac:dyDescent="0.2">
      <c r="A26" s="246"/>
      <c r="C26" s="242"/>
      <c r="D26" s="90"/>
      <c r="E26" s="91"/>
      <c r="F26" s="89"/>
      <c r="G26" s="90"/>
      <c r="H26" s="91"/>
      <c r="I26" s="210"/>
      <c r="J26" s="210"/>
      <c r="K26" s="91"/>
      <c r="L26" s="90"/>
      <c r="M26" s="210"/>
      <c r="N26" s="210"/>
      <c r="O26" s="210"/>
      <c r="Q26" s="280"/>
      <c r="R26" s="280"/>
      <c r="S26" s="280"/>
      <c r="T26" s="280"/>
      <c r="U26" s="280"/>
      <c r="V26" s="280"/>
      <c r="W26" s="280"/>
      <c r="X26" s="280"/>
      <c r="Y26" s="280"/>
    </row>
    <row r="27" spans="1:25" ht="15.75" thickBot="1" x14ac:dyDescent="0.25">
      <c r="A27" s="193" t="s">
        <v>185</v>
      </c>
      <c r="C27" s="239">
        <f>SUM(C18:C26)</f>
        <v>-2156.6</v>
      </c>
      <c r="D27" s="111">
        <f>SUM(D18:D26)</f>
        <v>18638.400000000001</v>
      </c>
      <c r="E27" s="91"/>
      <c r="F27" s="239">
        <f>SUM(F18:F26)</f>
        <v>2245</v>
      </c>
      <c r="G27" s="111">
        <f>SUM(G18:G26)</f>
        <v>20795</v>
      </c>
      <c r="H27" s="240">
        <f>SUM(H18:H26)</f>
        <v>17329.166666666668</v>
      </c>
      <c r="I27" s="240">
        <f>SUM(I18:I26)</f>
        <v>13476.160000000002</v>
      </c>
      <c r="J27" s="240">
        <f>SUM(J18:J26)</f>
        <v>3853.0066666666648</v>
      </c>
      <c r="K27" s="91"/>
      <c r="L27" s="111">
        <f>SUM(L18:L26)</f>
        <v>18550</v>
      </c>
      <c r="M27" s="240">
        <f>SUM(M18:M26)</f>
        <v>15458.333333333332</v>
      </c>
      <c r="N27" s="240">
        <f>SUM(N18:N26)</f>
        <v>17443</v>
      </c>
      <c r="O27" s="240">
        <f>SUM(O18:O26)</f>
        <v>-1984.666666666667</v>
      </c>
      <c r="Q27" s="280"/>
      <c r="R27" s="280"/>
      <c r="S27" s="280"/>
      <c r="T27" s="280"/>
      <c r="U27" s="280"/>
      <c r="V27" s="280"/>
      <c r="W27" s="280"/>
      <c r="X27" s="280"/>
      <c r="Y27" s="280"/>
    </row>
    <row r="28" spans="1:25" x14ac:dyDescent="0.2">
      <c r="A28" s="241"/>
      <c r="C28" s="242"/>
      <c r="D28" s="90"/>
      <c r="E28" s="91"/>
      <c r="F28" s="242"/>
      <c r="G28" s="90"/>
      <c r="H28" s="91"/>
      <c r="I28" s="210"/>
      <c r="J28" s="210"/>
      <c r="K28" s="91"/>
      <c r="L28" s="90"/>
      <c r="M28" s="210"/>
      <c r="N28" s="210"/>
      <c r="O28" s="210"/>
      <c r="Q28" s="280"/>
      <c r="R28" s="280"/>
      <c r="S28" s="280"/>
      <c r="T28" s="280"/>
      <c r="U28" s="280"/>
      <c r="V28" s="280"/>
      <c r="W28" s="280"/>
      <c r="X28" s="280"/>
      <c r="Y28" s="280"/>
    </row>
    <row r="29" spans="1:25" x14ac:dyDescent="0.2">
      <c r="A29" s="7" t="s">
        <v>67</v>
      </c>
      <c r="C29" s="242"/>
      <c r="D29" s="90"/>
      <c r="E29" s="91"/>
      <c r="F29" s="89"/>
      <c r="G29" s="90"/>
      <c r="H29" s="91"/>
      <c r="I29" s="91"/>
      <c r="J29" s="210"/>
      <c r="K29" s="91"/>
      <c r="L29" s="90"/>
      <c r="M29" s="210"/>
      <c r="N29" s="210"/>
      <c r="O29" s="210"/>
      <c r="R29" s="280"/>
      <c r="S29" s="280"/>
      <c r="T29" s="280"/>
      <c r="U29" s="280"/>
      <c r="V29" s="280"/>
      <c r="W29" s="280"/>
      <c r="X29" s="280"/>
      <c r="Y29" s="280"/>
    </row>
    <row r="30" spans="1:25" ht="15.75" x14ac:dyDescent="0.2">
      <c r="A30" s="8" t="s">
        <v>66</v>
      </c>
      <c r="C30" s="69">
        <f t="shared" ref="C30:C33" si="15">D30-G30</f>
        <v>-600</v>
      </c>
      <c r="D30" s="90">
        <v>600</v>
      </c>
      <c r="E30" s="91"/>
      <c r="F30" s="71">
        <f t="shared" ref="F30:F33" si="16">G30-L30</f>
        <v>-800</v>
      </c>
      <c r="G30" s="90">
        <v>1200</v>
      </c>
      <c r="H30" s="96">
        <f t="shared" ref="H30:H33" si="17">G30/12*10</f>
        <v>1000</v>
      </c>
      <c r="I30" s="91">
        <v>470.89</v>
      </c>
      <c r="J30" s="96">
        <f t="shared" ref="J30:J33" si="18">H30-I30</f>
        <v>529.11</v>
      </c>
      <c r="K30" s="91"/>
      <c r="L30" s="90">
        <v>2000</v>
      </c>
      <c r="M30" s="70">
        <f t="shared" ref="M30:M33" si="19">L30/12*10</f>
        <v>1666.6666666666665</v>
      </c>
      <c r="N30" s="73">
        <v>1208</v>
      </c>
      <c r="O30" s="73">
        <f t="shared" ref="O30:O33" si="20">M30-N30</f>
        <v>458.66666666666652</v>
      </c>
      <c r="Q30" s="280" t="s">
        <v>113</v>
      </c>
      <c r="R30" s="280"/>
      <c r="S30" s="280"/>
      <c r="T30" s="280"/>
      <c r="U30" s="280"/>
      <c r="V30" s="280"/>
      <c r="W30" s="280"/>
      <c r="X30" s="27"/>
      <c r="Y30" s="280"/>
    </row>
    <row r="31" spans="1:25" ht="15.75" x14ac:dyDescent="0.2">
      <c r="A31" s="8" t="s">
        <v>83</v>
      </c>
      <c r="C31" s="69">
        <f t="shared" si="15"/>
        <v>0</v>
      </c>
      <c r="D31" s="90">
        <v>5000</v>
      </c>
      <c r="E31" s="91"/>
      <c r="F31" s="71">
        <f t="shared" si="16"/>
        <v>2500</v>
      </c>
      <c r="G31" s="90">
        <v>5000</v>
      </c>
      <c r="H31" s="96">
        <f t="shared" si="17"/>
        <v>4166.666666666667</v>
      </c>
      <c r="I31" s="91">
        <v>8556</v>
      </c>
      <c r="J31" s="96">
        <f t="shared" si="18"/>
        <v>-4389.333333333333</v>
      </c>
      <c r="K31" s="91"/>
      <c r="L31" s="90">
        <v>2500</v>
      </c>
      <c r="M31" s="70">
        <f t="shared" si="19"/>
        <v>2083.3333333333335</v>
      </c>
      <c r="N31" s="73">
        <v>3950</v>
      </c>
      <c r="O31" s="73">
        <f t="shared" si="20"/>
        <v>-1866.6666666666665</v>
      </c>
      <c r="Q31" s="280" t="s">
        <v>114</v>
      </c>
      <c r="R31" s="280"/>
      <c r="S31" s="280"/>
      <c r="T31" s="280"/>
      <c r="U31" s="280"/>
      <c r="V31" s="280"/>
      <c r="W31" s="280"/>
      <c r="X31" s="280"/>
      <c r="Y31" s="280"/>
    </row>
    <row r="32" spans="1:25" ht="15.75" x14ac:dyDescent="0.2">
      <c r="A32" s="8" t="s">
        <v>42</v>
      </c>
      <c r="C32" s="69">
        <f t="shared" si="15"/>
        <v>-100</v>
      </c>
      <c r="D32" s="90">
        <v>1000</v>
      </c>
      <c r="E32" s="91"/>
      <c r="F32" s="71">
        <f t="shared" si="16"/>
        <v>300</v>
      </c>
      <c r="G32" s="90">
        <v>1100</v>
      </c>
      <c r="H32" s="96">
        <f t="shared" si="17"/>
        <v>916.66666666666674</v>
      </c>
      <c r="I32" s="91">
        <v>960.42</v>
      </c>
      <c r="J32" s="96">
        <f t="shared" si="18"/>
        <v>-43.753333333333217</v>
      </c>
      <c r="K32" s="91"/>
      <c r="L32" s="90">
        <v>800</v>
      </c>
      <c r="M32" s="70">
        <f t="shared" si="19"/>
        <v>666.66666666666674</v>
      </c>
      <c r="N32" s="73">
        <v>975</v>
      </c>
      <c r="O32" s="73">
        <f t="shared" si="20"/>
        <v>-308.33333333333326</v>
      </c>
      <c r="Q32" s="280" t="s">
        <v>115</v>
      </c>
      <c r="R32" s="280"/>
      <c r="S32" s="280"/>
      <c r="T32" s="280"/>
      <c r="U32" s="280"/>
      <c r="V32" s="280"/>
      <c r="W32" s="280"/>
      <c r="X32" s="280"/>
      <c r="Y32" s="280"/>
    </row>
    <row r="33" spans="1:26" ht="15.75" x14ac:dyDescent="0.2">
      <c r="A33" s="8" t="s">
        <v>93</v>
      </c>
      <c r="C33" s="69">
        <f t="shared" si="15"/>
        <v>-1200</v>
      </c>
      <c r="D33" s="90">
        <v>0</v>
      </c>
      <c r="E33" s="91"/>
      <c r="F33" s="71">
        <f t="shared" si="16"/>
        <v>1200</v>
      </c>
      <c r="G33" s="90">
        <v>1200</v>
      </c>
      <c r="H33" s="96">
        <f t="shared" si="17"/>
        <v>1000</v>
      </c>
      <c r="I33" s="91">
        <v>346.19</v>
      </c>
      <c r="J33" s="96">
        <f t="shared" si="18"/>
        <v>653.80999999999995</v>
      </c>
      <c r="K33" s="91"/>
      <c r="L33" s="90">
        <v>0</v>
      </c>
      <c r="M33" s="70">
        <f t="shared" si="19"/>
        <v>0</v>
      </c>
      <c r="N33" s="73">
        <v>1099</v>
      </c>
      <c r="O33" s="73">
        <f t="shared" si="20"/>
        <v>-1099</v>
      </c>
      <c r="Q33" s="280" t="s">
        <v>279</v>
      </c>
      <c r="R33" s="27"/>
      <c r="S33" s="280"/>
      <c r="T33" s="280"/>
      <c r="U33" s="280"/>
      <c r="V33" s="280"/>
      <c r="W33" s="280"/>
      <c r="X33" s="280"/>
      <c r="Y33" s="280"/>
    </row>
    <row r="34" spans="1:26" x14ac:dyDescent="0.2">
      <c r="A34" s="241"/>
      <c r="C34" s="242"/>
      <c r="D34" s="90"/>
      <c r="E34" s="91"/>
      <c r="F34" s="89"/>
      <c r="G34" s="90"/>
      <c r="H34" s="91"/>
      <c r="I34" s="210"/>
      <c r="J34" s="210"/>
      <c r="K34" s="91"/>
      <c r="L34" s="90"/>
      <c r="M34" s="210"/>
      <c r="N34" s="210"/>
      <c r="O34" s="210"/>
      <c r="Q34" s="280"/>
      <c r="R34" s="27"/>
      <c r="S34" s="280"/>
      <c r="T34" s="280"/>
      <c r="U34" s="280"/>
      <c r="V34" s="280"/>
      <c r="W34" s="280"/>
      <c r="X34" s="280"/>
      <c r="Y34" s="280"/>
    </row>
    <row r="35" spans="1:26" ht="15.75" thickBot="1" x14ac:dyDescent="0.25">
      <c r="A35" s="193" t="s">
        <v>183</v>
      </c>
      <c r="C35" s="239">
        <f t="shared" ref="C35:D35" si="21">SUM(C29:C34)</f>
        <v>-1900</v>
      </c>
      <c r="D35" s="111">
        <f t="shared" si="21"/>
        <v>6600</v>
      </c>
      <c r="E35" s="91"/>
      <c r="F35" s="239">
        <f t="shared" ref="F35:J35" si="22">SUM(F29:F34)</f>
        <v>3200</v>
      </c>
      <c r="G35" s="111">
        <f t="shared" si="22"/>
        <v>8500</v>
      </c>
      <c r="H35" s="240">
        <f t="shared" si="22"/>
        <v>7083.3333333333339</v>
      </c>
      <c r="I35" s="240">
        <f t="shared" si="22"/>
        <v>10333.5</v>
      </c>
      <c r="J35" s="240">
        <f t="shared" si="22"/>
        <v>-3250.1666666666661</v>
      </c>
      <c r="K35" s="91"/>
      <c r="L35" s="111">
        <f>SUM(L29:L34)</f>
        <v>5300</v>
      </c>
      <c r="M35" s="240">
        <f t="shared" ref="M35:O35" si="23">SUM(M29:M34)</f>
        <v>4416.666666666667</v>
      </c>
      <c r="N35" s="240">
        <f t="shared" si="23"/>
        <v>7232</v>
      </c>
      <c r="O35" s="240">
        <f t="shared" si="23"/>
        <v>-2815.333333333333</v>
      </c>
      <c r="Q35" s="280"/>
      <c r="R35" s="280"/>
      <c r="S35" s="280"/>
      <c r="T35" s="280"/>
      <c r="U35" s="280"/>
      <c r="V35" s="280"/>
      <c r="W35" s="280"/>
      <c r="X35" s="280"/>
      <c r="Y35" s="280"/>
    </row>
    <row r="36" spans="1:26" x14ac:dyDescent="0.2">
      <c r="A36" s="241"/>
      <c r="C36" s="242"/>
      <c r="D36" s="90"/>
      <c r="E36" s="91"/>
      <c r="F36" s="242"/>
      <c r="G36" s="90"/>
      <c r="H36" s="91"/>
      <c r="I36" s="210"/>
      <c r="J36" s="210"/>
      <c r="K36" s="91"/>
      <c r="L36" s="90"/>
      <c r="M36" s="210"/>
      <c r="N36" s="210"/>
      <c r="O36" s="210"/>
      <c r="Q36" s="280"/>
      <c r="R36" s="280"/>
      <c r="S36" s="280"/>
      <c r="T36" s="280"/>
      <c r="U36" s="280"/>
      <c r="V36" s="280"/>
      <c r="W36" s="280"/>
      <c r="X36" s="280"/>
      <c r="Y36" s="280"/>
    </row>
    <row r="37" spans="1:26" x14ac:dyDescent="0.2">
      <c r="A37" s="10" t="s">
        <v>37</v>
      </c>
      <c r="C37" s="242"/>
      <c r="D37" s="90"/>
      <c r="E37" s="91"/>
      <c r="F37" s="89"/>
      <c r="G37" s="90"/>
      <c r="H37" s="91"/>
      <c r="I37" s="210"/>
      <c r="J37" s="210"/>
      <c r="K37" s="91"/>
      <c r="L37" s="90"/>
      <c r="M37" s="210"/>
      <c r="N37" s="210"/>
      <c r="O37" s="210"/>
      <c r="Q37" s="280"/>
      <c r="R37" s="280"/>
      <c r="S37" s="280"/>
      <c r="T37" s="280"/>
      <c r="U37" s="280"/>
      <c r="V37" s="280"/>
      <c r="W37" s="280"/>
      <c r="X37" s="280"/>
      <c r="Y37" s="280"/>
    </row>
    <row r="38" spans="1:26" ht="15.75" x14ac:dyDescent="0.2">
      <c r="A38" s="8" t="s">
        <v>38</v>
      </c>
      <c r="B38" s="235" t="s">
        <v>165</v>
      </c>
      <c r="C38" s="69">
        <f t="shared" ref="C38:C42" si="24">D38-G38</f>
        <v>136.80000000000018</v>
      </c>
      <c r="D38" s="95">
        <f>G38+(G38*$C$78)</f>
        <v>5836.8</v>
      </c>
      <c r="E38" s="91"/>
      <c r="F38" s="71">
        <f t="shared" ref="F38:F42" si="25">G38-L38</f>
        <v>1000</v>
      </c>
      <c r="G38" s="90">
        <v>5700</v>
      </c>
      <c r="H38" s="96">
        <f t="shared" ref="H38:H42" si="26">G38/12*10</f>
        <v>4750</v>
      </c>
      <c r="I38" s="91">
        <v>-500</v>
      </c>
      <c r="J38" s="96">
        <f t="shared" ref="J38:J42" si="27">H38-I38</f>
        <v>5250</v>
      </c>
      <c r="K38" s="91"/>
      <c r="L38" s="90">
        <v>4700</v>
      </c>
      <c r="M38" s="70">
        <f t="shared" ref="M38:M42" si="28">L38/12*10</f>
        <v>3916.666666666667</v>
      </c>
      <c r="N38" s="73">
        <v>4346</v>
      </c>
      <c r="O38" s="73">
        <f t="shared" ref="O38:O42" si="29">M38-N38</f>
        <v>-429.33333333333303</v>
      </c>
      <c r="R38" s="280"/>
      <c r="S38" s="280"/>
      <c r="T38" s="280"/>
      <c r="U38" s="27"/>
      <c r="V38" s="280"/>
      <c r="W38" s="280"/>
      <c r="X38" s="280"/>
      <c r="Y38" s="280"/>
    </row>
    <row r="39" spans="1:26" ht="15.75" x14ac:dyDescent="0.2">
      <c r="A39" s="8" t="s">
        <v>70</v>
      </c>
      <c r="C39" s="69">
        <f t="shared" si="24"/>
        <v>-1250</v>
      </c>
      <c r="D39" s="90">
        <v>250</v>
      </c>
      <c r="E39" s="91"/>
      <c r="F39" s="71">
        <f t="shared" si="25"/>
        <v>500</v>
      </c>
      <c r="G39" s="90">
        <v>1500</v>
      </c>
      <c r="H39" s="96">
        <f t="shared" si="26"/>
        <v>1250</v>
      </c>
      <c r="I39" s="91">
        <v>323.02999999999997</v>
      </c>
      <c r="J39" s="96">
        <f t="shared" si="27"/>
        <v>926.97</v>
      </c>
      <c r="K39" s="91"/>
      <c r="L39" s="90">
        <v>1000</v>
      </c>
      <c r="M39" s="70">
        <f t="shared" si="28"/>
        <v>833.33333333333326</v>
      </c>
      <c r="N39" s="73">
        <v>956</v>
      </c>
      <c r="O39" s="73">
        <f t="shared" si="29"/>
        <v>-122.66666666666674</v>
      </c>
      <c r="Q39" s="280" t="s">
        <v>116</v>
      </c>
      <c r="R39" s="280"/>
      <c r="S39" s="27"/>
      <c r="T39" s="280"/>
      <c r="U39" s="280"/>
      <c r="V39" s="280"/>
      <c r="W39" s="280"/>
      <c r="X39" s="280"/>
      <c r="Y39" s="280"/>
    </row>
    <row r="40" spans="1:26" ht="15.75" x14ac:dyDescent="0.25">
      <c r="A40" s="188" t="s">
        <v>143</v>
      </c>
      <c r="C40" s="69">
        <f t="shared" si="24"/>
        <v>0</v>
      </c>
      <c r="D40" s="90">
        <v>0</v>
      </c>
      <c r="E40" s="91"/>
      <c r="F40" s="71">
        <f t="shared" si="25"/>
        <v>0</v>
      </c>
      <c r="G40" s="90">
        <v>0</v>
      </c>
      <c r="H40" s="96">
        <f t="shared" si="26"/>
        <v>0</v>
      </c>
      <c r="I40" s="91">
        <v>0</v>
      </c>
      <c r="J40" s="96">
        <f t="shared" si="27"/>
        <v>0</v>
      </c>
      <c r="K40" s="91"/>
      <c r="L40" s="90">
        <v>0</v>
      </c>
      <c r="M40" s="70">
        <f t="shared" si="28"/>
        <v>0</v>
      </c>
      <c r="N40" s="73">
        <v>0</v>
      </c>
      <c r="O40" s="73">
        <f t="shared" si="29"/>
        <v>0</v>
      </c>
      <c r="Q40" s="280"/>
      <c r="R40" s="41"/>
      <c r="S40" s="41"/>
      <c r="T40" s="41"/>
      <c r="U40" s="41"/>
      <c r="V40" s="41"/>
      <c r="W40" s="280"/>
      <c r="X40" s="41"/>
      <c r="Y40" s="41"/>
    </row>
    <row r="41" spans="1:26" ht="15.75" x14ac:dyDescent="0.25">
      <c r="A41" s="8" t="s">
        <v>144</v>
      </c>
      <c r="C41" s="69">
        <f t="shared" si="24"/>
        <v>0</v>
      </c>
      <c r="D41" s="90">
        <v>0</v>
      </c>
      <c r="E41" s="91"/>
      <c r="F41" s="71">
        <f t="shared" si="25"/>
        <v>0</v>
      </c>
      <c r="G41" s="90">
        <v>0</v>
      </c>
      <c r="H41" s="96">
        <f t="shared" si="26"/>
        <v>0</v>
      </c>
      <c r="I41" s="91">
        <v>0</v>
      </c>
      <c r="J41" s="96">
        <f t="shared" si="27"/>
        <v>0</v>
      </c>
      <c r="K41" s="91"/>
      <c r="L41" s="90">
        <v>0</v>
      </c>
      <c r="M41" s="70">
        <f t="shared" si="28"/>
        <v>0</v>
      </c>
      <c r="N41" s="73">
        <v>0</v>
      </c>
      <c r="O41" s="73">
        <f t="shared" si="29"/>
        <v>0</v>
      </c>
      <c r="Q41" s="58"/>
      <c r="R41" s="280"/>
      <c r="S41" s="280"/>
      <c r="T41" s="280"/>
      <c r="U41" s="280"/>
      <c r="V41" s="280"/>
      <c r="W41" s="280"/>
      <c r="X41" s="280"/>
      <c r="Y41" s="280"/>
    </row>
    <row r="42" spans="1:26" ht="15.75" x14ac:dyDescent="0.25">
      <c r="A42" s="60" t="s">
        <v>120</v>
      </c>
      <c r="B42" s="41"/>
      <c r="C42" s="69">
        <f t="shared" si="24"/>
        <v>-750</v>
      </c>
      <c r="D42" s="126">
        <v>0</v>
      </c>
      <c r="E42" s="73"/>
      <c r="F42" s="71">
        <f t="shared" si="25"/>
        <v>750</v>
      </c>
      <c r="G42" s="126">
        <v>750</v>
      </c>
      <c r="H42" s="70">
        <f t="shared" si="26"/>
        <v>625</v>
      </c>
      <c r="I42" s="70">
        <v>1317.79</v>
      </c>
      <c r="J42" s="70">
        <f t="shared" si="27"/>
        <v>-692.79</v>
      </c>
      <c r="K42" s="127"/>
      <c r="L42" s="126">
        <v>0</v>
      </c>
      <c r="M42" s="70">
        <f t="shared" si="28"/>
        <v>0</v>
      </c>
      <c r="N42" s="127">
        <v>2964</v>
      </c>
      <c r="O42" s="73">
        <f t="shared" si="29"/>
        <v>-2964</v>
      </c>
      <c r="P42" s="41"/>
      <c r="Q42" s="280"/>
      <c r="R42" s="280"/>
      <c r="S42" s="280"/>
      <c r="T42" s="280"/>
      <c r="U42" s="280"/>
      <c r="V42" s="280"/>
      <c r="W42" s="280"/>
      <c r="X42" s="280"/>
      <c r="Y42" s="280"/>
      <c r="Z42" s="41"/>
    </row>
    <row r="43" spans="1:26" ht="15.75" x14ac:dyDescent="0.2">
      <c r="A43" s="246" t="s">
        <v>188</v>
      </c>
      <c r="C43" s="69">
        <f t="shared" ref="C43:C44" si="30">D43-G43</f>
        <v>0</v>
      </c>
      <c r="D43" s="90">
        <v>0</v>
      </c>
      <c r="E43" s="91"/>
      <c r="F43" s="71">
        <f t="shared" ref="F43:F44" si="31">G43-L43</f>
        <v>0</v>
      </c>
      <c r="G43" s="90">
        <v>0</v>
      </c>
      <c r="H43" s="96">
        <f t="shared" ref="H43:H44" si="32">G43/12*10</f>
        <v>0</v>
      </c>
      <c r="I43" s="91">
        <v>0</v>
      </c>
      <c r="J43" s="96">
        <f t="shared" ref="J43:J44" si="33">H43-I43</f>
        <v>0</v>
      </c>
      <c r="K43" s="91"/>
      <c r="L43" s="90">
        <v>0</v>
      </c>
      <c r="M43" s="70">
        <f t="shared" ref="M43:M44" si="34">L43/12*10</f>
        <v>0</v>
      </c>
      <c r="N43" s="73">
        <v>0</v>
      </c>
      <c r="O43" s="73">
        <f t="shared" ref="O43:O44" si="35">M43-N43</f>
        <v>0</v>
      </c>
      <c r="Q43" s="280"/>
      <c r="R43" s="280"/>
      <c r="S43" s="280"/>
      <c r="T43" s="280"/>
      <c r="U43" s="280"/>
      <c r="V43" s="280"/>
      <c r="W43" s="280"/>
      <c r="X43" s="280"/>
      <c r="Y43" s="280"/>
    </row>
    <row r="44" spans="1:26" ht="15.75" x14ac:dyDescent="0.2">
      <c r="A44" s="246" t="s">
        <v>187</v>
      </c>
      <c r="C44" s="69">
        <f t="shared" si="30"/>
        <v>0</v>
      </c>
      <c r="D44" s="90">
        <v>0</v>
      </c>
      <c r="E44" s="91"/>
      <c r="F44" s="71">
        <f t="shared" si="31"/>
        <v>0</v>
      </c>
      <c r="G44" s="90">
        <v>0</v>
      </c>
      <c r="H44" s="96">
        <f t="shared" si="32"/>
        <v>0</v>
      </c>
      <c r="I44" s="91">
        <v>0</v>
      </c>
      <c r="J44" s="96">
        <f t="shared" si="33"/>
        <v>0</v>
      </c>
      <c r="K44" s="91"/>
      <c r="L44" s="90">
        <v>0</v>
      </c>
      <c r="M44" s="70">
        <f t="shared" si="34"/>
        <v>0</v>
      </c>
      <c r="N44" s="73">
        <v>0</v>
      </c>
      <c r="O44" s="73">
        <f t="shared" si="35"/>
        <v>0</v>
      </c>
      <c r="Q44" s="280"/>
      <c r="R44" s="280"/>
      <c r="S44" s="280"/>
      <c r="T44" s="280"/>
      <c r="U44" s="280"/>
      <c r="V44" s="280"/>
      <c r="W44" s="280"/>
      <c r="X44" s="280"/>
      <c r="Y44" s="280"/>
    </row>
    <row r="45" spans="1:26" x14ac:dyDescent="0.2">
      <c r="A45" s="241"/>
      <c r="C45" s="242"/>
      <c r="D45" s="90"/>
      <c r="E45" s="91"/>
      <c r="F45" s="89"/>
      <c r="G45" s="90"/>
      <c r="H45" s="91"/>
      <c r="I45" s="210"/>
      <c r="J45" s="210"/>
      <c r="K45" s="91"/>
      <c r="L45" s="141"/>
      <c r="M45" s="210"/>
      <c r="N45" s="210"/>
      <c r="O45" s="210"/>
      <c r="Q45" s="280"/>
      <c r="R45" s="280"/>
      <c r="S45" s="280"/>
      <c r="T45" s="280"/>
      <c r="U45" s="280"/>
      <c r="V45" s="280"/>
      <c r="W45" s="280"/>
      <c r="X45" s="280"/>
      <c r="Y45" s="280"/>
    </row>
    <row r="46" spans="1:26" ht="15.75" thickBot="1" x14ac:dyDescent="0.25">
      <c r="A46" s="193" t="s">
        <v>184</v>
      </c>
      <c r="C46" s="239">
        <f>SUM(C37:C45)</f>
        <v>-1863.1999999999998</v>
      </c>
      <c r="D46" s="111">
        <f>SUM(D37:D45)</f>
        <v>6086.8</v>
      </c>
      <c r="E46" s="91"/>
      <c r="F46" s="239">
        <f>SUM(F37:F45)</f>
        <v>2250</v>
      </c>
      <c r="G46" s="111">
        <f>SUM(G37:G45)</f>
        <v>7950</v>
      </c>
      <c r="H46" s="240">
        <f>SUM(H37:H45)</f>
        <v>6625</v>
      </c>
      <c r="I46" s="240">
        <f>SUM(I37:I45)</f>
        <v>1140.82</v>
      </c>
      <c r="J46" s="240">
        <f>SUM(J37:J45)</f>
        <v>5484.18</v>
      </c>
      <c r="K46" s="91"/>
      <c r="L46" s="111">
        <f>SUM(L37:L45)</f>
        <v>5700</v>
      </c>
      <c r="M46" s="240">
        <f>SUM(M37:M45)</f>
        <v>4750</v>
      </c>
      <c r="N46" s="240">
        <f>SUM(N37:N45)</f>
        <v>8266</v>
      </c>
      <c r="O46" s="240">
        <f>SUM(O37:O45)</f>
        <v>-3516</v>
      </c>
      <c r="R46" s="280"/>
      <c r="S46" s="280"/>
      <c r="T46" s="280"/>
      <c r="U46" s="280"/>
      <c r="V46" s="280"/>
      <c r="W46" s="280"/>
      <c r="X46" s="280"/>
      <c r="Y46" s="280"/>
    </row>
    <row r="47" spans="1:26" x14ac:dyDescent="0.2">
      <c r="A47" s="241"/>
      <c r="C47" s="242"/>
      <c r="D47" s="141"/>
      <c r="E47" s="91"/>
      <c r="F47" s="242"/>
      <c r="G47" s="141"/>
      <c r="H47" s="91"/>
      <c r="I47" s="210"/>
      <c r="J47" s="210"/>
      <c r="K47" s="91"/>
      <c r="L47" s="141"/>
      <c r="M47" s="210"/>
      <c r="N47" s="210"/>
      <c r="O47" s="210"/>
      <c r="R47" s="280"/>
      <c r="S47" s="280"/>
      <c r="T47" s="280"/>
      <c r="U47" s="280"/>
      <c r="V47" s="280"/>
      <c r="W47" s="280"/>
      <c r="X47" s="280"/>
      <c r="Y47" s="280"/>
    </row>
    <row r="48" spans="1:26" x14ac:dyDescent="0.2">
      <c r="A48" s="4" t="s">
        <v>27</v>
      </c>
      <c r="C48" s="89"/>
      <c r="D48" s="90"/>
      <c r="E48" s="91"/>
      <c r="F48" s="89"/>
      <c r="G48" s="90"/>
      <c r="H48" s="91"/>
      <c r="I48" s="91"/>
      <c r="J48" s="91"/>
      <c r="K48" s="91"/>
      <c r="L48" s="90"/>
      <c r="M48" s="91"/>
      <c r="N48" s="91"/>
      <c r="O48" s="91"/>
      <c r="R48" s="280"/>
      <c r="S48" s="280"/>
      <c r="T48" s="280"/>
      <c r="U48" s="280"/>
      <c r="V48" s="280"/>
      <c r="W48" s="280"/>
      <c r="X48" s="280"/>
      <c r="Y48" s="280"/>
    </row>
    <row r="49" spans="1:25" ht="15.75" x14ac:dyDescent="0.2">
      <c r="A49" s="3" t="s">
        <v>28</v>
      </c>
      <c r="C49" s="69">
        <f t="shared" ref="C49:C56" si="36">D49-G49</f>
        <v>-400</v>
      </c>
      <c r="D49" s="90">
        <v>800</v>
      </c>
      <c r="E49" s="91"/>
      <c r="F49" s="71">
        <f t="shared" ref="F49:F56" si="37">G49-L49</f>
        <v>750</v>
      </c>
      <c r="G49" s="90">
        <v>1200</v>
      </c>
      <c r="H49" s="96">
        <f t="shared" ref="H49:H56" si="38">G49/12*10</f>
        <v>1000</v>
      </c>
      <c r="I49" s="91">
        <v>631.51</v>
      </c>
      <c r="J49" s="96">
        <f t="shared" ref="J49:J56" si="39">H49-I49</f>
        <v>368.49</v>
      </c>
      <c r="K49" s="91"/>
      <c r="L49" s="90">
        <v>450</v>
      </c>
      <c r="M49" s="70">
        <f t="shared" ref="M49:M56" si="40">L49/12*10</f>
        <v>375</v>
      </c>
      <c r="N49" s="73">
        <v>977</v>
      </c>
      <c r="O49" s="73">
        <f t="shared" ref="O49:O56" si="41">M49-N49</f>
        <v>-602</v>
      </c>
      <c r="Q49" s="280" t="s">
        <v>257</v>
      </c>
      <c r="R49" s="280"/>
      <c r="S49" s="280"/>
      <c r="T49" s="280"/>
      <c r="U49" s="280"/>
      <c r="V49" s="280"/>
      <c r="W49" s="280"/>
      <c r="X49" s="280"/>
      <c r="Y49" s="280"/>
    </row>
    <row r="50" spans="1:25" ht="15.75" x14ac:dyDescent="0.2">
      <c r="A50" s="3" t="s">
        <v>29</v>
      </c>
      <c r="C50" s="69">
        <f t="shared" si="36"/>
        <v>0</v>
      </c>
      <c r="D50" s="90">
        <v>0</v>
      </c>
      <c r="E50" s="91"/>
      <c r="F50" s="71">
        <f t="shared" si="37"/>
        <v>-530</v>
      </c>
      <c r="G50" s="90">
        <v>0</v>
      </c>
      <c r="H50" s="96">
        <f t="shared" si="38"/>
        <v>0</v>
      </c>
      <c r="I50" s="91">
        <v>0</v>
      </c>
      <c r="J50" s="96">
        <f t="shared" si="39"/>
        <v>0</v>
      </c>
      <c r="K50" s="91"/>
      <c r="L50" s="90">
        <v>530</v>
      </c>
      <c r="M50" s="70">
        <f t="shared" si="40"/>
        <v>441.66666666666663</v>
      </c>
      <c r="N50" s="73">
        <v>0</v>
      </c>
      <c r="O50" s="73">
        <f t="shared" si="41"/>
        <v>441.66666666666663</v>
      </c>
      <c r="R50" s="280"/>
      <c r="S50" s="280"/>
      <c r="T50" s="280"/>
      <c r="U50" s="280"/>
      <c r="V50" s="280"/>
      <c r="W50" s="280"/>
      <c r="X50" s="280"/>
      <c r="Y50" s="280"/>
    </row>
    <row r="51" spans="1:25" ht="15.75" x14ac:dyDescent="0.2">
      <c r="A51" s="3" t="s">
        <v>30</v>
      </c>
      <c r="C51" s="69">
        <f t="shared" si="36"/>
        <v>-200</v>
      </c>
      <c r="D51" s="90">
        <v>800</v>
      </c>
      <c r="E51" s="91"/>
      <c r="F51" s="71">
        <f t="shared" si="37"/>
        <v>400</v>
      </c>
      <c r="G51" s="90">
        <v>1000</v>
      </c>
      <c r="H51" s="96">
        <f t="shared" si="38"/>
        <v>833.33333333333326</v>
      </c>
      <c r="I51" s="91">
        <v>590.89</v>
      </c>
      <c r="J51" s="96">
        <f t="shared" si="39"/>
        <v>242.44333333333327</v>
      </c>
      <c r="K51" s="91"/>
      <c r="L51" s="90">
        <v>600</v>
      </c>
      <c r="M51" s="70">
        <f t="shared" si="40"/>
        <v>500</v>
      </c>
      <c r="N51" s="73">
        <v>914</v>
      </c>
      <c r="O51" s="73">
        <f t="shared" si="41"/>
        <v>-414</v>
      </c>
      <c r="Q51" s="280" t="s">
        <v>133</v>
      </c>
      <c r="R51" s="280"/>
      <c r="S51" s="280"/>
      <c r="T51" s="280"/>
      <c r="U51" s="280"/>
      <c r="V51" s="280"/>
      <c r="W51" s="280"/>
      <c r="X51" s="280"/>
      <c r="Y51" s="280"/>
    </row>
    <row r="52" spans="1:25" ht="15.75" x14ac:dyDescent="0.2">
      <c r="A52" s="3" t="s">
        <v>31</v>
      </c>
      <c r="C52" s="69">
        <f t="shared" si="36"/>
        <v>-150</v>
      </c>
      <c r="D52" s="90">
        <v>100</v>
      </c>
      <c r="E52" s="91"/>
      <c r="F52" s="71">
        <f t="shared" si="37"/>
        <v>250</v>
      </c>
      <c r="G52" s="90">
        <v>250</v>
      </c>
      <c r="H52" s="96">
        <f t="shared" si="38"/>
        <v>208.33333333333331</v>
      </c>
      <c r="I52" s="91">
        <v>47.69</v>
      </c>
      <c r="J52" s="96">
        <f t="shared" si="39"/>
        <v>160.64333333333332</v>
      </c>
      <c r="K52" s="91"/>
      <c r="L52" s="90">
        <v>0</v>
      </c>
      <c r="M52" s="70">
        <f t="shared" si="40"/>
        <v>0</v>
      </c>
      <c r="N52" s="73">
        <v>219</v>
      </c>
      <c r="O52" s="73">
        <f t="shared" si="41"/>
        <v>-219</v>
      </c>
      <c r="Q52" s="280"/>
      <c r="R52" s="280"/>
      <c r="S52" s="280"/>
      <c r="T52" s="280"/>
      <c r="U52" s="280"/>
      <c r="V52" s="280"/>
      <c r="W52" s="280"/>
      <c r="X52" s="280"/>
      <c r="Y52" s="280"/>
    </row>
    <row r="53" spans="1:25" ht="15.75" x14ac:dyDescent="0.2">
      <c r="A53" s="243" t="s">
        <v>76</v>
      </c>
      <c r="C53" s="69">
        <f t="shared" si="36"/>
        <v>0</v>
      </c>
      <c r="D53" s="90">
        <v>600</v>
      </c>
      <c r="E53" s="91"/>
      <c r="F53" s="71">
        <f t="shared" si="37"/>
        <v>0</v>
      </c>
      <c r="G53" s="90">
        <v>600</v>
      </c>
      <c r="H53" s="96">
        <f t="shared" si="38"/>
        <v>500</v>
      </c>
      <c r="I53" s="91">
        <v>587.12</v>
      </c>
      <c r="J53" s="96">
        <f t="shared" si="39"/>
        <v>-87.12</v>
      </c>
      <c r="K53" s="91"/>
      <c r="L53" s="90">
        <v>600</v>
      </c>
      <c r="M53" s="70">
        <f t="shared" si="40"/>
        <v>500</v>
      </c>
      <c r="N53" s="73">
        <v>76</v>
      </c>
      <c r="O53" s="73">
        <f t="shared" si="41"/>
        <v>424</v>
      </c>
      <c r="Q53" s="280" t="s">
        <v>136</v>
      </c>
      <c r="R53" s="280"/>
      <c r="S53" s="280"/>
      <c r="T53" s="280"/>
      <c r="U53" s="280"/>
      <c r="V53" s="280"/>
      <c r="W53" s="280"/>
      <c r="X53" s="280"/>
      <c r="Y53" s="280"/>
    </row>
    <row r="54" spans="1:25" ht="15.75" x14ac:dyDescent="0.2">
      <c r="A54" s="243" t="s">
        <v>137</v>
      </c>
      <c r="C54" s="69">
        <f t="shared" si="36"/>
        <v>700</v>
      </c>
      <c r="D54" s="90">
        <v>2900</v>
      </c>
      <c r="E54" s="91"/>
      <c r="F54" s="71">
        <f t="shared" si="37"/>
        <v>800</v>
      </c>
      <c r="G54" s="90">
        <v>2200</v>
      </c>
      <c r="H54" s="96">
        <f t="shared" si="38"/>
        <v>1833.3333333333335</v>
      </c>
      <c r="I54" s="91">
        <v>2127.5</v>
      </c>
      <c r="J54" s="96">
        <f t="shared" si="39"/>
        <v>-294.16666666666652</v>
      </c>
      <c r="K54" s="91"/>
      <c r="L54" s="90">
        <v>1400</v>
      </c>
      <c r="M54" s="70">
        <f t="shared" si="40"/>
        <v>1166.6666666666667</v>
      </c>
      <c r="N54" s="73">
        <v>1411</v>
      </c>
      <c r="O54" s="73">
        <f t="shared" si="41"/>
        <v>-244.33333333333326</v>
      </c>
      <c r="Q54" s="280" t="s">
        <v>138</v>
      </c>
      <c r="R54" s="280"/>
      <c r="S54" s="280"/>
      <c r="T54" s="280"/>
      <c r="U54" s="280"/>
      <c r="V54" s="280"/>
      <c r="W54" s="280"/>
      <c r="X54" s="280"/>
      <c r="Y54" s="280"/>
    </row>
    <row r="55" spans="1:25" ht="15.75" x14ac:dyDescent="0.2">
      <c r="A55" s="243" t="s">
        <v>139</v>
      </c>
      <c r="C55" s="69">
        <f t="shared" si="36"/>
        <v>0</v>
      </c>
      <c r="D55" s="90">
        <v>200</v>
      </c>
      <c r="E55" s="91"/>
      <c r="F55" s="71">
        <f t="shared" si="37"/>
        <v>0</v>
      </c>
      <c r="G55" s="90">
        <v>200</v>
      </c>
      <c r="H55" s="96">
        <f t="shared" si="38"/>
        <v>166.66666666666669</v>
      </c>
      <c r="I55" s="91">
        <v>83.79</v>
      </c>
      <c r="J55" s="96">
        <f t="shared" si="39"/>
        <v>82.876666666666679</v>
      </c>
      <c r="K55" s="91"/>
      <c r="L55" s="90">
        <v>200</v>
      </c>
      <c r="M55" s="70">
        <f t="shared" si="40"/>
        <v>166.66666666666669</v>
      </c>
      <c r="N55" s="73">
        <v>10</v>
      </c>
      <c r="O55" s="73">
        <f t="shared" si="41"/>
        <v>156.66666666666669</v>
      </c>
      <c r="Q55" s="280" t="s">
        <v>108</v>
      </c>
      <c r="R55" s="280"/>
      <c r="S55" s="280"/>
      <c r="T55" s="280"/>
      <c r="U55" s="280"/>
      <c r="V55" s="280"/>
      <c r="W55" s="280"/>
      <c r="X55" s="280"/>
      <c r="Y55" s="280"/>
    </row>
    <row r="56" spans="1:25" ht="15.75" x14ac:dyDescent="0.2">
      <c r="A56" s="243" t="s">
        <v>130</v>
      </c>
      <c r="C56" s="69">
        <f t="shared" si="36"/>
        <v>-50</v>
      </c>
      <c r="D56" s="90">
        <v>0</v>
      </c>
      <c r="E56" s="91"/>
      <c r="F56" s="71">
        <f t="shared" si="37"/>
        <v>50</v>
      </c>
      <c r="G56" s="90">
        <v>50</v>
      </c>
      <c r="H56" s="96">
        <f t="shared" si="38"/>
        <v>41.666666666666671</v>
      </c>
      <c r="I56" s="91">
        <v>0</v>
      </c>
      <c r="J56" s="96">
        <f t="shared" si="39"/>
        <v>41.666666666666671</v>
      </c>
      <c r="K56" s="91"/>
      <c r="L56" s="90">
        <v>0</v>
      </c>
      <c r="M56" s="70">
        <f t="shared" si="40"/>
        <v>0</v>
      </c>
      <c r="N56" s="73">
        <v>47</v>
      </c>
      <c r="O56" s="73">
        <f t="shared" si="41"/>
        <v>-47</v>
      </c>
      <c r="R56" s="280"/>
      <c r="S56" s="280"/>
      <c r="T56" s="280"/>
      <c r="U56" s="280"/>
      <c r="V56" s="280"/>
      <c r="W56" s="280"/>
      <c r="X56" s="280"/>
      <c r="Y56" s="280"/>
    </row>
    <row r="57" spans="1:25" x14ac:dyDescent="0.2">
      <c r="A57" s="243"/>
      <c r="C57" s="89"/>
      <c r="D57" s="90"/>
      <c r="E57" s="91"/>
      <c r="F57" s="89"/>
      <c r="G57" s="90"/>
      <c r="H57" s="91"/>
      <c r="I57" s="91"/>
      <c r="J57" s="91"/>
      <c r="K57" s="91"/>
      <c r="L57" s="90"/>
      <c r="M57" s="91"/>
      <c r="N57" s="91"/>
      <c r="O57" s="91"/>
      <c r="Q57" s="280"/>
      <c r="R57" s="280"/>
      <c r="S57" s="280"/>
      <c r="T57" s="280"/>
      <c r="U57" s="280"/>
      <c r="V57" s="280"/>
      <c r="W57" s="280"/>
      <c r="X57" s="280"/>
      <c r="Y57" s="280"/>
    </row>
    <row r="58" spans="1:25" ht="15.75" thickBot="1" x14ac:dyDescent="0.25">
      <c r="A58" s="193" t="s">
        <v>181</v>
      </c>
      <c r="C58" s="239">
        <f t="shared" ref="C58:D58" si="42">SUM(C48:C57)</f>
        <v>-100</v>
      </c>
      <c r="D58" s="111">
        <f t="shared" si="42"/>
        <v>5400</v>
      </c>
      <c r="E58" s="91"/>
      <c r="F58" s="239">
        <f t="shared" ref="F58:J58" si="43">SUM(F48:F57)</f>
        <v>1720</v>
      </c>
      <c r="G58" s="111">
        <f t="shared" si="43"/>
        <v>5500</v>
      </c>
      <c r="H58" s="240">
        <f t="shared" si="43"/>
        <v>4583.3333333333339</v>
      </c>
      <c r="I58" s="240">
        <f t="shared" si="43"/>
        <v>4068.5</v>
      </c>
      <c r="J58" s="240">
        <f t="shared" si="43"/>
        <v>514.83333333333337</v>
      </c>
      <c r="K58" s="91"/>
      <c r="L58" s="111">
        <f>SUM(L48:L57)</f>
        <v>3780</v>
      </c>
      <c r="M58" s="240">
        <f t="shared" ref="M58:O58" si="44">SUM(M48:M57)</f>
        <v>3149.9999999999995</v>
      </c>
      <c r="N58" s="240">
        <f t="shared" si="44"/>
        <v>3654</v>
      </c>
      <c r="O58" s="240">
        <f t="shared" si="44"/>
        <v>-503.99999999999994</v>
      </c>
      <c r="Q58" s="280"/>
      <c r="R58" s="280"/>
      <c r="S58" s="280"/>
      <c r="T58" s="280"/>
      <c r="U58" s="280"/>
      <c r="V58" s="280"/>
      <c r="W58" s="280"/>
      <c r="X58" s="280"/>
      <c r="Y58" s="280"/>
    </row>
    <row r="59" spans="1:25" x14ac:dyDescent="0.2">
      <c r="A59" s="3"/>
      <c r="C59" s="89"/>
      <c r="D59" s="141"/>
      <c r="E59" s="91"/>
      <c r="F59" s="89"/>
      <c r="G59" s="141"/>
      <c r="H59" s="91"/>
      <c r="I59" s="91"/>
      <c r="J59" s="91"/>
      <c r="K59" s="91"/>
      <c r="L59" s="141"/>
      <c r="M59" s="91"/>
      <c r="N59" s="91"/>
      <c r="O59" s="91"/>
      <c r="Q59" s="280"/>
      <c r="R59" s="280"/>
      <c r="S59" s="280"/>
      <c r="T59" s="280"/>
      <c r="U59" s="280"/>
      <c r="V59" s="280"/>
      <c r="W59" s="280"/>
      <c r="X59" s="280"/>
      <c r="Y59" s="280"/>
    </row>
    <row r="60" spans="1:25" x14ac:dyDescent="0.2">
      <c r="A60" s="4" t="s">
        <v>84</v>
      </c>
      <c r="C60" s="89"/>
      <c r="D60" s="90"/>
      <c r="E60" s="91"/>
      <c r="F60" s="89"/>
      <c r="G60" s="90"/>
      <c r="H60" s="91"/>
      <c r="I60" s="91"/>
      <c r="J60" s="91"/>
      <c r="K60" s="91"/>
      <c r="L60" s="90"/>
      <c r="M60" s="91"/>
      <c r="N60" s="91"/>
      <c r="O60" s="91"/>
      <c r="Q60" s="280"/>
      <c r="R60" s="280"/>
      <c r="S60" s="280"/>
      <c r="T60" s="280"/>
      <c r="U60" s="280"/>
      <c r="V60" s="280"/>
      <c r="W60" s="280"/>
      <c r="X60" s="280"/>
      <c r="Y60" s="280"/>
    </row>
    <row r="61" spans="1:25" ht="15.75" x14ac:dyDescent="0.2">
      <c r="A61" s="3" t="s">
        <v>85</v>
      </c>
      <c r="C61" s="69">
        <f t="shared" ref="C61:C68" si="45">D61-G61</f>
        <v>0</v>
      </c>
      <c r="D61" s="90">
        <v>2500</v>
      </c>
      <c r="E61" s="91"/>
      <c r="F61" s="71">
        <f t="shared" ref="F61:F68" si="46">G61-L61</f>
        <v>-11000</v>
      </c>
      <c r="G61" s="90">
        <v>2500</v>
      </c>
      <c r="H61" s="96">
        <f t="shared" ref="H61:H68" si="47">G61/12*10</f>
        <v>2083.3333333333335</v>
      </c>
      <c r="I61" s="91">
        <v>121</v>
      </c>
      <c r="J61" s="96">
        <f t="shared" ref="J61:J68" si="48">H61-I61</f>
        <v>1962.3333333333335</v>
      </c>
      <c r="K61" s="91"/>
      <c r="L61" s="237">
        <v>13500</v>
      </c>
      <c r="M61" s="70">
        <f t="shared" ref="M61:M68" si="49">L61/12*10</f>
        <v>11250</v>
      </c>
      <c r="N61" s="73">
        <v>6655</v>
      </c>
      <c r="O61" s="73">
        <f t="shared" ref="O61:O68" si="50">M61-N61</f>
        <v>4595</v>
      </c>
      <c r="Q61" s="280" t="s">
        <v>258</v>
      </c>
      <c r="R61" s="280"/>
      <c r="S61" s="280"/>
      <c r="T61" s="280"/>
      <c r="U61" s="280"/>
      <c r="V61" s="280"/>
      <c r="W61" s="280"/>
      <c r="X61" s="280"/>
      <c r="Y61" s="280"/>
    </row>
    <row r="62" spans="1:25" ht="15.75" x14ac:dyDescent="0.2">
      <c r="A62" s="3" t="s">
        <v>128</v>
      </c>
      <c r="C62" s="69">
        <f t="shared" si="45"/>
        <v>1920</v>
      </c>
      <c r="D62" s="90">
        <v>7680</v>
      </c>
      <c r="E62" s="91"/>
      <c r="F62" s="71">
        <f t="shared" si="46"/>
        <v>5760</v>
      </c>
      <c r="G62" s="90">
        <v>5760</v>
      </c>
      <c r="H62" s="96">
        <f t="shared" si="47"/>
        <v>4800</v>
      </c>
      <c r="I62" s="91">
        <v>9132.33</v>
      </c>
      <c r="J62" s="96">
        <f t="shared" si="48"/>
        <v>-4332.33</v>
      </c>
      <c r="K62" s="91"/>
      <c r="L62" s="237">
        <v>0</v>
      </c>
      <c r="M62" s="70">
        <f t="shared" si="49"/>
        <v>0</v>
      </c>
      <c r="N62" s="73">
        <v>4315</v>
      </c>
      <c r="O62" s="73">
        <f t="shared" si="50"/>
        <v>-4315</v>
      </c>
      <c r="Q62" s="280" t="s">
        <v>140</v>
      </c>
      <c r="R62" s="27"/>
      <c r="S62" s="280"/>
      <c r="T62" s="280"/>
      <c r="U62" s="280"/>
      <c r="V62" s="280"/>
      <c r="W62" s="280"/>
      <c r="X62" s="280"/>
      <c r="Y62" s="280"/>
    </row>
    <row r="63" spans="1:25" ht="15.75" x14ac:dyDescent="0.2">
      <c r="A63" s="3" t="s">
        <v>141</v>
      </c>
      <c r="C63" s="69">
        <f t="shared" si="45"/>
        <v>530</v>
      </c>
      <c r="D63" s="90">
        <v>650</v>
      </c>
      <c r="E63" s="91"/>
      <c r="F63" s="71">
        <f t="shared" si="46"/>
        <v>-2380</v>
      </c>
      <c r="G63" s="90">
        <v>120</v>
      </c>
      <c r="H63" s="96">
        <f t="shared" si="47"/>
        <v>100</v>
      </c>
      <c r="I63" s="91">
        <v>821.21</v>
      </c>
      <c r="J63" s="96">
        <f t="shared" si="48"/>
        <v>-721.21</v>
      </c>
      <c r="K63" s="91"/>
      <c r="L63" s="90">
        <v>2500</v>
      </c>
      <c r="M63" s="70">
        <f t="shared" si="49"/>
        <v>2083.3333333333335</v>
      </c>
      <c r="N63" s="73">
        <v>3394</v>
      </c>
      <c r="O63" s="73">
        <f t="shared" si="50"/>
        <v>-1310.6666666666665</v>
      </c>
      <c r="Q63" s="280"/>
      <c r="R63" s="280"/>
      <c r="S63" s="280"/>
      <c r="T63" s="280"/>
      <c r="U63" s="280"/>
      <c r="V63" s="280"/>
      <c r="W63" s="280"/>
      <c r="X63" s="280"/>
      <c r="Y63" s="280"/>
    </row>
    <row r="64" spans="1:25" ht="15.75" x14ac:dyDescent="0.2">
      <c r="A64" s="3" t="s">
        <v>86</v>
      </c>
      <c r="C64" s="69">
        <f t="shared" si="45"/>
        <v>0</v>
      </c>
      <c r="D64" s="90">
        <v>1500</v>
      </c>
      <c r="E64" s="91"/>
      <c r="F64" s="71">
        <f t="shared" si="46"/>
        <v>0</v>
      </c>
      <c r="G64" s="90">
        <v>1500</v>
      </c>
      <c r="H64" s="96">
        <f t="shared" si="47"/>
        <v>1250</v>
      </c>
      <c r="I64" s="91">
        <v>483</v>
      </c>
      <c r="J64" s="96">
        <f t="shared" si="48"/>
        <v>767</v>
      </c>
      <c r="K64" s="91"/>
      <c r="L64" s="237">
        <v>1500</v>
      </c>
      <c r="M64" s="70">
        <f t="shared" si="49"/>
        <v>1250</v>
      </c>
      <c r="N64" s="73">
        <v>1725</v>
      </c>
      <c r="O64" s="73">
        <f t="shared" si="50"/>
        <v>-475</v>
      </c>
      <c r="Q64" s="280" t="s">
        <v>109</v>
      </c>
      <c r="R64" s="280"/>
      <c r="S64" s="280"/>
      <c r="T64" s="280"/>
      <c r="U64" s="280"/>
      <c r="V64" s="280"/>
      <c r="W64" s="280"/>
      <c r="X64" s="280"/>
      <c r="Y64" s="280"/>
    </row>
    <row r="65" spans="1:25" ht="15.75" x14ac:dyDescent="0.2">
      <c r="A65" s="3" t="s">
        <v>87</v>
      </c>
      <c r="C65" s="69">
        <f t="shared" si="45"/>
        <v>0</v>
      </c>
      <c r="D65" s="90">
        <v>0</v>
      </c>
      <c r="E65" s="91"/>
      <c r="F65" s="71">
        <f t="shared" si="46"/>
        <v>-3000</v>
      </c>
      <c r="G65" s="90">
        <v>0</v>
      </c>
      <c r="H65" s="96">
        <f t="shared" si="47"/>
        <v>0</v>
      </c>
      <c r="I65" s="91">
        <v>0</v>
      </c>
      <c r="J65" s="96">
        <f t="shared" si="48"/>
        <v>0</v>
      </c>
      <c r="K65" s="91"/>
      <c r="L65" s="90">
        <v>3000</v>
      </c>
      <c r="M65" s="70">
        <f t="shared" si="49"/>
        <v>2500</v>
      </c>
      <c r="N65" s="73">
        <v>0</v>
      </c>
      <c r="O65" s="73">
        <f t="shared" si="50"/>
        <v>2500</v>
      </c>
      <c r="Q65" s="280"/>
      <c r="R65" s="280"/>
      <c r="S65" s="280"/>
      <c r="T65" s="280"/>
      <c r="U65" s="280"/>
      <c r="V65" s="280"/>
      <c r="W65" s="280"/>
      <c r="X65" s="280"/>
      <c r="Y65" s="280"/>
    </row>
    <row r="66" spans="1:25" ht="15.75" x14ac:dyDescent="0.2">
      <c r="A66" s="243" t="s">
        <v>19</v>
      </c>
      <c r="C66" s="69">
        <f t="shared" si="45"/>
        <v>0</v>
      </c>
      <c r="D66" s="90">
        <v>200</v>
      </c>
      <c r="E66" s="91"/>
      <c r="F66" s="71">
        <f t="shared" si="46"/>
        <v>200</v>
      </c>
      <c r="G66" s="90">
        <v>200</v>
      </c>
      <c r="H66" s="96">
        <f t="shared" si="47"/>
        <v>166.66666666666669</v>
      </c>
      <c r="I66" s="91">
        <v>179.3</v>
      </c>
      <c r="J66" s="96">
        <f t="shared" si="48"/>
        <v>-12.633333333333326</v>
      </c>
      <c r="K66" s="91"/>
      <c r="L66" s="90">
        <v>0</v>
      </c>
      <c r="M66" s="70">
        <f t="shared" si="49"/>
        <v>0</v>
      </c>
      <c r="N66" s="73">
        <v>87</v>
      </c>
      <c r="O66" s="73">
        <f t="shared" si="50"/>
        <v>-87</v>
      </c>
      <c r="Q66" s="280"/>
      <c r="R66" s="280"/>
      <c r="S66" s="280"/>
      <c r="T66" s="280"/>
      <c r="U66" s="280"/>
      <c r="V66" s="280"/>
      <c r="W66" s="280"/>
      <c r="X66" s="280"/>
      <c r="Y66" s="280"/>
    </row>
    <row r="67" spans="1:25" ht="15.75" x14ac:dyDescent="0.2">
      <c r="A67" s="243" t="s">
        <v>88</v>
      </c>
      <c r="C67" s="69">
        <f t="shared" si="45"/>
        <v>0</v>
      </c>
      <c r="D67" s="90">
        <v>0</v>
      </c>
      <c r="E67" s="91"/>
      <c r="F67" s="71">
        <f t="shared" si="46"/>
        <v>0</v>
      </c>
      <c r="G67" s="90">
        <v>0</v>
      </c>
      <c r="H67" s="96">
        <f t="shared" si="47"/>
        <v>0</v>
      </c>
      <c r="I67" s="91">
        <v>0</v>
      </c>
      <c r="J67" s="96">
        <f t="shared" si="48"/>
        <v>0</v>
      </c>
      <c r="K67" s="91"/>
      <c r="L67" s="90">
        <v>0</v>
      </c>
      <c r="M67" s="70">
        <f t="shared" si="49"/>
        <v>0</v>
      </c>
      <c r="N67" s="73">
        <v>0</v>
      </c>
      <c r="O67" s="73">
        <f t="shared" si="50"/>
        <v>0</v>
      </c>
      <c r="Q67" s="280"/>
      <c r="R67" s="280"/>
      <c r="S67" s="280"/>
      <c r="T67" s="280"/>
      <c r="U67" s="280"/>
      <c r="V67" s="280"/>
      <c r="W67" s="280"/>
      <c r="X67" s="280"/>
      <c r="Y67" s="280"/>
    </row>
    <row r="68" spans="1:25" ht="15.75" x14ac:dyDescent="0.2">
      <c r="A68" s="3" t="s">
        <v>103</v>
      </c>
      <c r="C68" s="69">
        <f t="shared" si="45"/>
        <v>0</v>
      </c>
      <c r="D68" s="90">
        <v>180</v>
      </c>
      <c r="E68" s="91"/>
      <c r="F68" s="71">
        <f t="shared" si="46"/>
        <v>0</v>
      </c>
      <c r="G68" s="90">
        <v>180</v>
      </c>
      <c r="H68" s="96">
        <f t="shared" si="47"/>
        <v>150</v>
      </c>
      <c r="I68" s="91">
        <v>180</v>
      </c>
      <c r="J68" s="96">
        <f t="shared" si="48"/>
        <v>-30</v>
      </c>
      <c r="K68" s="91"/>
      <c r="L68" s="90">
        <v>180</v>
      </c>
      <c r="M68" s="70">
        <f t="shared" si="49"/>
        <v>150</v>
      </c>
      <c r="N68" s="73">
        <v>180</v>
      </c>
      <c r="O68" s="73">
        <f t="shared" si="50"/>
        <v>-30</v>
      </c>
      <c r="Q68" s="280"/>
      <c r="R68" s="280"/>
      <c r="S68" s="280"/>
      <c r="T68" s="280"/>
      <c r="U68" s="280"/>
      <c r="V68" s="280"/>
      <c r="W68" s="280"/>
      <c r="X68" s="280"/>
      <c r="Y68" s="280"/>
    </row>
    <row r="69" spans="1:25" x14ac:dyDescent="0.2">
      <c r="A69" s="3"/>
      <c r="C69" s="89"/>
      <c r="D69" s="90"/>
      <c r="E69" s="91"/>
      <c r="F69" s="89"/>
      <c r="G69" s="90"/>
      <c r="H69" s="91"/>
      <c r="I69" s="91"/>
      <c r="J69" s="91"/>
      <c r="K69" s="91"/>
      <c r="L69" s="90"/>
      <c r="M69" s="91"/>
      <c r="N69" s="91"/>
      <c r="O69" s="91"/>
      <c r="Q69" s="169"/>
      <c r="R69" s="170"/>
      <c r="S69" s="280"/>
      <c r="T69" s="280"/>
      <c r="U69" s="280"/>
      <c r="V69" s="280"/>
      <c r="W69" s="280"/>
      <c r="X69" s="280"/>
      <c r="Y69" s="280"/>
    </row>
    <row r="70" spans="1:25" ht="15.75" thickBot="1" x14ac:dyDescent="0.25">
      <c r="A70" s="193" t="s">
        <v>182</v>
      </c>
      <c r="C70" s="239">
        <f t="shared" ref="C70:D70" si="51">SUM(C60:C69)</f>
        <v>2450</v>
      </c>
      <c r="D70" s="111">
        <f t="shared" si="51"/>
        <v>12710</v>
      </c>
      <c r="E70" s="91"/>
      <c r="F70" s="239">
        <f t="shared" ref="F70:J70" si="52">SUM(F60:F69)</f>
        <v>-10420</v>
      </c>
      <c r="G70" s="111">
        <f t="shared" si="52"/>
        <v>10260</v>
      </c>
      <c r="H70" s="240">
        <f t="shared" si="52"/>
        <v>8550</v>
      </c>
      <c r="I70" s="240">
        <f t="shared" si="52"/>
        <v>10916.84</v>
      </c>
      <c r="J70" s="240">
        <f t="shared" si="52"/>
        <v>-2366.8399999999997</v>
      </c>
      <c r="K70" s="91"/>
      <c r="L70" s="111">
        <f>SUM(L60:L69)</f>
        <v>20680</v>
      </c>
      <c r="M70" s="240">
        <f t="shared" ref="M70:O70" si="53">SUM(M60:M69)</f>
        <v>17233.333333333336</v>
      </c>
      <c r="N70" s="240">
        <f t="shared" si="53"/>
        <v>16356</v>
      </c>
      <c r="O70" s="240">
        <f t="shared" si="53"/>
        <v>877.33333333333348</v>
      </c>
      <c r="Q70" s="280"/>
      <c r="R70" s="280"/>
      <c r="S70" s="280"/>
      <c r="T70" s="280"/>
      <c r="U70" s="280"/>
      <c r="V70" s="280"/>
      <c r="W70" s="280"/>
      <c r="X70" s="280"/>
      <c r="Y70" s="280"/>
    </row>
    <row r="71" spans="1:25" ht="15.75" thickBot="1" x14ac:dyDescent="0.25">
      <c r="A71" s="3"/>
      <c r="C71" s="89"/>
      <c r="D71" s="141"/>
      <c r="E71" s="91"/>
      <c r="F71" s="89"/>
      <c r="G71" s="244"/>
      <c r="H71" s="91"/>
      <c r="I71" s="91"/>
      <c r="J71" s="91"/>
      <c r="K71" s="91"/>
      <c r="L71" s="111"/>
      <c r="M71" s="91"/>
      <c r="N71" s="91"/>
      <c r="O71" s="91"/>
      <c r="Q71" s="280"/>
      <c r="R71" s="280"/>
      <c r="S71" s="280"/>
      <c r="T71" s="280"/>
      <c r="U71" s="280"/>
      <c r="V71" s="280"/>
      <c r="W71" s="280"/>
      <c r="X71" s="280"/>
      <c r="Y71" s="280"/>
    </row>
    <row r="72" spans="1:25" ht="15.75" thickBot="1" x14ac:dyDescent="0.25">
      <c r="A72" s="193" t="s">
        <v>168</v>
      </c>
      <c r="B72" s="10"/>
      <c r="C72" s="239">
        <f>C16+C27+C35+C46+C58+C70</f>
        <v>4880.2</v>
      </c>
      <c r="D72" s="111">
        <f>D16+D27+D35+D46+D58+D70</f>
        <v>134835.20000000001</v>
      </c>
      <c r="E72" s="91"/>
      <c r="F72" s="239">
        <f>F16+F27+F35+F46+F58+F70</f>
        <v>11365</v>
      </c>
      <c r="G72" s="111">
        <f>G16+G27+G35+G46+G58+G70</f>
        <v>129955</v>
      </c>
      <c r="H72" s="240">
        <f>H16+H27+H35+H46+H58+H70</f>
        <v>108295.83333333333</v>
      </c>
      <c r="I72" s="240">
        <f>I16+I27+I35+I46+I58+I70</f>
        <v>101958.37000000001</v>
      </c>
      <c r="J72" s="240">
        <f>J16+J27+J35+J46+J58+J70</f>
        <v>6337.4633333333331</v>
      </c>
      <c r="K72" s="91"/>
      <c r="L72" s="111">
        <f>L16+L27+L35+L46+L58+L70</f>
        <v>118590</v>
      </c>
      <c r="M72" s="240">
        <f>M16+M27+M35+M46+M58+M70</f>
        <v>98825</v>
      </c>
      <c r="N72" s="240">
        <f>N16+N27+N35+N46+N58+N70</f>
        <v>112801</v>
      </c>
      <c r="O72" s="240">
        <f>O16+O27+O35+O46+O58+O70</f>
        <v>-13975.999999999998</v>
      </c>
      <c r="Q72" s="280"/>
      <c r="R72" s="280"/>
      <c r="S72" s="280"/>
      <c r="T72" s="280"/>
      <c r="U72" s="280"/>
      <c r="V72" s="280"/>
      <c r="W72" s="280"/>
      <c r="X72" s="280"/>
      <c r="Y72" s="280"/>
    </row>
    <row r="73" spans="1:25" x14ac:dyDescent="0.2">
      <c r="A73" s="10"/>
      <c r="B73" s="10"/>
      <c r="C73" s="117"/>
      <c r="D73" s="90"/>
      <c r="E73" s="91"/>
      <c r="F73" s="89"/>
      <c r="G73" s="90"/>
      <c r="H73" s="91"/>
      <c r="I73" s="91"/>
      <c r="J73" s="91"/>
      <c r="K73" s="91"/>
      <c r="L73" s="90"/>
      <c r="M73" s="91"/>
      <c r="N73" s="91"/>
      <c r="O73" s="91"/>
      <c r="Q73" s="280"/>
      <c r="R73" s="280"/>
      <c r="S73" s="280"/>
      <c r="T73" s="280"/>
      <c r="U73" s="280"/>
      <c r="V73" s="280"/>
      <c r="W73" s="280"/>
      <c r="X73" s="280"/>
      <c r="Y73" s="280"/>
    </row>
    <row r="74" spans="1:25" ht="15.75" x14ac:dyDescent="0.2">
      <c r="A74" s="11" t="s">
        <v>100</v>
      </c>
      <c r="B74" s="11"/>
      <c r="C74" s="69">
        <f t="shared" ref="C74" si="54">D74-G74</f>
        <v>0</v>
      </c>
      <c r="D74" s="90">
        <f>Reserves!F5</f>
        <v>8500</v>
      </c>
      <c r="E74" s="91"/>
      <c r="F74" s="71">
        <f t="shared" ref="F74" si="55">G74-L74</f>
        <v>0</v>
      </c>
      <c r="G74" s="90">
        <v>8500</v>
      </c>
      <c r="H74" s="96">
        <f t="shared" ref="H74" si="56">G74/12*10</f>
        <v>7083.3333333333339</v>
      </c>
      <c r="I74" s="91"/>
      <c r="J74" s="96">
        <f>H74-I74</f>
        <v>7083.3333333333339</v>
      </c>
      <c r="K74" s="91"/>
      <c r="L74" s="90">
        <v>8500</v>
      </c>
      <c r="M74" s="70">
        <f t="shared" ref="M74" si="57">L74/12*10</f>
        <v>7083.3333333333339</v>
      </c>
      <c r="N74" s="73">
        <v>6375</v>
      </c>
      <c r="O74" s="73">
        <f t="shared" ref="O74" si="58">M74-N74</f>
        <v>708.33333333333394</v>
      </c>
      <c r="Q74" s="280"/>
      <c r="R74" s="280"/>
      <c r="S74" s="280"/>
      <c r="T74" s="280"/>
      <c r="U74" s="280"/>
      <c r="V74" s="280"/>
      <c r="W74" s="280"/>
      <c r="X74" s="280"/>
      <c r="Y74" s="280"/>
    </row>
    <row r="75" spans="1:25" x14ac:dyDescent="0.2">
      <c r="A75" s="11"/>
      <c r="B75" s="11"/>
      <c r="C75" s="94"/>
      <c r="D75" s="90"/>
      <c r="E75" s="91"/>
      <c r="F75" s="89"/>
      <c r="G75" s="90"/>
      <c r="H75" s="91"/>
      <c r="I75" s="91"/>
      <c r="J75" s="91"/>
      <c r="K75" s="91"/>
      <c r="L75" s="90"/>
      <c r="M75" s="91"/>
      <c r="N75" s="91"/>
      <c r="O75" s="91"/>
      <c r="Q75" s="280"/>
      <c r="R75" s="280"/>
      <c r="S75" s="280"/>
      <c r="T75" s="280"/>
      <c r="U75" s="280"/>
      <c r="V75" s="280"/>
      <c r="W75" s="280"/>
      <c r="X75" s="280"/>
      <c r="Y75" s="280"/>
    </row>
    <row r="76" spans="1:25" ht="15.75" thickBot="1" x14ac:dyDescent="0.25">
      <c r="A76" s="193" t="s">
        <v>1</v>
      </c>
      <c r="B76" s="10"/>
      <c r="C76" s="98">
        <f>SUM(C72:C75)</f>
        <v>4880.2</v>
      </c>
      <c r="D76" s="99">
        <f>SUM(D72:D75)</f>
        <v>143335.20000000001</v>
      </c>
      <c r="E76" s="91"/>
      <c r="F76" s="98">
        <f t="shared" ref="F76:J76" si="59">SUM(F72:F75)</f>
        <v>11365</v>
      </c>
      <c r="G76" s="99">
        <f t="shared" si="59"/>
        <v>138455</v>
      </c>
      <c r="H76" s="101">
        <f t="shared" si="59"/>
        <v>115379.16666666666</v>
      </c>
      <c r="I76" s="101">
        <f t="shared" si="59"/>
        <v>101958.37000000001</v>
      </c>
      <c r="J76" s="101">
        <f t="shared" si="59"/>
        <v>13420.796666666667</v>
      </c>
      <c r="K76" s="91"/>
      <c r="L76" s="99">
        <f t="shared" ref="L76:O76" si="60">SUM(L72:L75)</f>
        <v>127090</v>
      </c>
      <c r="M76" s="101">
        <f t="shared" si="60"/>
        <v>105908.33333333333</v>
      </c>
      <c r="N76" s="101">
        <f t="shared" si="60"/>
        <v>119176</v>
      </c>
      <c r="O76" s="101">
        <f t="shared" si="60"/>
        <v>-13267.666666666664</v>
      </c>
      <c r="Q76" s="169">
        <f>SUM(C76:P76)</f>
        <v>867700.4</v>
      </c>
      <c r="R76" s="170" t="s">
        <v>173</v>
      </c>
      <c r="S76" s="280"/>
      <c r="T76" s="280"/>
      <c r="U76" s="280"/>
      <c r="V76" s="280"/>
      <c r="W76" s="280"/>
      <c r="X76" s="280"/>
      <c r="Y76" s="280"/>
    </row>
    <row r="77" spans="1:25" x14ac:dyDescent="0.2">
      <c r="Q77" s="280"/>
      <c r="R77" s="280"/>
      <c r="S77" s="280"/>
      <c r="T77" s="280"/>
      <c r="U77" s="280"/>
      <c r="V77" s="280"/>
      <c r="W77" s="280"/>
      <c r="X77" s="280"/>
      <c r="Y77" s="280"/>
    </row>
    <row r="78" spans="1:25" x14ac:dyDescent="0.2">
      <c r="A78" s="206" t="s">
        <v>164</v>
      </c>
      <c r="B78" s="206"/>
      <c r="C78" s="110">
        <f>Summary!$C$26</f>
        <v>2.4E-2</v>
      </c>
      <c r="Q78" s="280"/>
      <c r="R78" s="280"/>
      <c r="S78" s="280"/>
      <c r="T78" s="280"/>
      <c r="U78" s="280"/>
      <c r="V78" s="280"/>
      <c r="W78" s="280"/>
      <c r="X78" s="280"/>
      <c r="Y78" s="280"/>
    </row>
  </sheetData>
  <sheetProtection algorithmName="SHA-512" hashValue="qKaKZie+OU70IUkfCalrrKjqHX/JhHeA66huLP8qSGLaSUixKq4HDd6cwj+KVIVwWDXXR+p5FRdQLgTgljckBg==" saltValue="HSxKLiJFlugIjkvSL9R44Q==" spinCount="100000" sheet="1" objects="1" scenarios="1"/>
  <mergeCells count="10">
    <mergeCell ref="C4:D4"/>
    <mergeCell ref="G4:J4"/>
    <mergeCell ref="L4:O4"/>
    <mergeCell ref="C5:C6"/>
    <mergeCell ref="D5:D6"/>
    <mergeCell ref="F5:F6"/>
    <mergeCell ref="G5:H5"/>
    <mergeCell ref="L5:M5"/>
    <mergeCell ref="H6:J6"/>
    <mergeCell ref="M6:O6"/>
  </mergeCells>
  <pageMargins left="0.7" right="0.7" top="0.75" bottom="0.75" header="0.3" footer="0.3"/>
  <pageSetup paperSize="9" scale="59" orientation="landscape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71"/>
  <sheetViews>
    <sheetView showGridLines="0" zoomScale="80" zoomScaleNormal="80"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46.28515625" style="41" customWidth="1"/>
    <col min="2" max="2" width="2.7109375" style="41" customWidth="1"/>
    <col min="3" max="4" width="11.7109375" style="41" customWidth="1"/>
    <col min="5" max="5" width="2.7109375" style="46" customWidth="1"/>
    <col min="6" max="9" width="11.7109375" style="46" customWidth="1"/>
    <col min="10" max="10" width="11.7109375" style="85" customWidth="1"/>
    <col min="11" max="11" width="2.7109375" style="41" customWidth="1"/>
    <col min="12" max="15" width="11.7109375" style="41" customWidth="1"/>
    <col min="16" max="16" width="2.7109375" style="41" customWidth="1"/>
    <col min="17" max="17" width="9.140625" style="85"/>
    <col min="18" max="16384" width="9.140625" style="41"/>
  </cols>
  <sheetData>
    <row r="1" spans="1:17" ht="21" x14ac:dyDescent="0.25">
      <c r="A1" s="63" t="s">
        <v>124</v>
      </c>
      <c r="B1" s="64"/>
      <c r="C1" s="66" t="s">
        <v>166</v>
      </c>
      <c r="D1" s="65"/>
      <c r="E1" s="65"/>
      <c r="F1" s="65"/>
      <c r="G1" s="64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1" x14ac:dyDescent="0.25">
      <c r="A2" s="66"/>
      <c r="B2" s="64"/>
      <c r="C2" s="66"/>
      <c r="D2" s="65"/>
      <c r="E2" s="65"/>
      <c r="F2" s="65"/>
      <c r="G2" s="64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21" x14ac:dyDescent="0.25">
      <c r="A3" s="66" t="s">
        <v>89</v>
      </c>
      <c r="B3" s="65"/>
      <c r="C3" s="65"/>
      <c r="D3" s="65"/>
      <c r="E3" s="65"/>
      <c r="F3" s="65"/>
      <c r="G3" s="64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1" x14ac:dyDescent="0.25">
      <c r="A4" s="21"/>
      <c r="B4" s="21"/>
      <c r="C4" s="313">
        <v>2019</v>
      </c>
      <c r="D4" s="313"/>
      <c r="E4" s="22"/>
      <c r="F4" s="21"/>
      <c r="G4" s="313">
        <v>2018</v>
      </c>
      <c r="H4" s="314"/>
      <c r="I4" s="314"/>
      <c r="J4" s="314"/>
      <c r="K4" s="21"/>
      <c r="L4" s="313">
        <v>2017</v>
      </c>
      <c r="M4" s="313"/>
      <c r="N4" s="313"/>
      <c r="O4" s="313"/>
      <c r="P4" s="22"/>
      <c r="Q4" s="24" t="s">
        <v>98</v>
      </c>
    </row>
    <row r="5" spans="1:17" x14ac:dyDescent="0.25">
      <c r="A5" s="31"/>
      <c r="B5" s="31"/>
      <c r="C5" s="315" t="s">
        <v>163</v>
      </c>
      <c r="D5" s="317" t="s">
        <v>44</v>
      </c>
      <c r="E5" s="31"/>
      <c r="F5" s="315" t="s">
        <v>162</v>
      </c>
      <c r="G5" s="321" t="s">
        <v>161</v>
      </c>
      <c r="H5" s="321"/>
      <c r="I5" s="32" t="s">
        <v>117</v>
      </c>
      <c r="J5" s="32" t="s">
        <v>97</v>
      </c>
      <c r="K5" s="31"/>
      <c r="L5" s="321" t="s">
        <v>161</v>
      </c>
      <c r="M5" s="330"/>
      <c r="N5" s="32" t="s">
        <v>117</v>
      </c>
      <c r="O5" s="32" t="s">
        <v>97</v>
      </c>
      <c r="P5" s="32"/>
      <c r="Q5" s="16"/>
    </row>
    <row r="6" spans="1:17" x14ac:dyDescent="0.25">
      <c r="A6" s="31"/>
      <c r="B6" s="31"/>
      <c r="C6" s="316"/>
      <c r="D6" s="318"/>
      <c r="E6" s="31"/>
      <c r="F6" s="319"/>
      <c r="G6" s="34" t="s">
        <v>159</v>
      </c>
      <c r="H6" s="321" t="s">
        <v>160</v>
      </c>
      <c r="I6" s="310"/>
      <c r="J6" s="310"/>
      <c r="K6" s="31"/>
      <c r="L6" s="34" t="s">
        <v>159</v>
      </c>
      <c r="M6" s="321" t="s">
        <v>160</v>
      </c>
      <c r="N6" s="310"/>
      <c r="O6" s="310"/>
      <c r="P6" s="32"/>
      <c r="Q6" s="16"/>
    </row>
    <row r="7" spans="1:17" x14ac:dyDescent="0.25">
      <c r="C7" s="125"/>
      <c r="D7" s="126"/>
      <c r="E7" s="127"/>
      <c r="F7" s="125"/>
      <c r="G7" s="126"/>
      <c r="H7" s="127"/>
      <c r="I7" s="127"/>
      <c r="J7" s="128"/>
      <c r="K7" s="127"/>
      <c r="L7" s="126"/>
      <c r="M7" s="127"/>
      <c r="N7" s="127"/>
      <c r="O7" s="127"/>
    </row>
    <row r="8" spans="1:17" x14ac:dyDescent="0.25">
      <c r="A8" s="59" t="s">
        <v>32</v>
      </c>
      <c r="C8" s="125"/>
      <c r="D8" s="126"/>
      <c r="E8" s="127"/>
      <c r="F8" s="125"/>
      <c r="G8" s="126"/>
      <c r="H8" s="127"/>
      <c r="I8" s="127"/>
      <c r="J8" s="128"/>
      <c r="K8" s="127"/>
      <c r="L8" s="126"/>
      <c r="M8" s="127"/>
      <c r="N8" s="127"/>
      <c r="O8" s="127"/>
      <c r="Q8" s="129"/>
    </row>
    <row r="9" spans="1:17" ht="15.75" x14ac:dyDescent="0.25">
      <c r="A9" s="60" t="s">
        <v>145</v>
      </c>
      <c r="C9" s="69">
        <f t="shared" ref="C9:C13" si="0">D9-G9</f>
        <v>690</v>
      </c>
      <c r="D9" s="126">
        <v>690</v>
      </c>
      <c r="E9" s="73"/>
      <c r="F9" s="71">
        <f t="shared" ref="F9:F13" si="1">G9-L9</f>
        <v>-1000</v>
      </c>
      <c r="G9" s="126">
        <v>0</v>
      </c>
      <c r="H9" s="70">
        <f t="shared" ref="H9:H13" si="2">G9/12*10</f>
        <v>0</v>
      </c>
      <c r="I9" s="70">
        <v>0</v>
      </c>
      <c r="J9" s="70">
        <f t="shared" ref="J9:J13" si="3">H9-I9</f>
        <v>0</v>
      </c>
      <c r="K9" s="127"/>
      <c r="L9" s="126">
        <v>1000</v>
      </c>
      <c r="M9" s="70">
        <f t="shared" ref="M9:M13" si="4">L9/12*10</f>
        <v>833.33333333333326</v>
      </c>
      <c r="N9" s="127">
        <v>630.78</v>
      </c>
      <c r="O9" s="73">
        <f t="shared" ref="O9:O13" si="5">M9-N9</f>
        <v>202.55333333333328</v>
      </c>
      <c r="Q9" s="129" t="s">
        <v>272</v>
      </c>
    </row>
    <row r="10" spans="1:17" ht="15.75" x14ac:dyDescent="0.25">
      <c r="A10" s="60" t="s">
        <v>72</v>
      </c>
      <c r="B10" s="41" t="s">
        <v>165</v>
      </c>
      <c r="C10" s="69">
        <f t="shared" si="0"/>
        <v>5.7599999999999909</v>
      </c>
      <c r="D10" s="95">
        <f>G10+(G10*$C$71)</f>
        <v>245.76</v>
      </c>
      <c r="E10" s="73"/>
      <c r="F10" s="71">
        <f t="shared" si="1"/>
        <v>0</v>
      </c>
      <c r="G10" s="126">
        <v>240</v>
      </c>
      <c r="H10" s="70">
        <f t="shared" si="2"/>
        <v>200</v>
      </c>
      <c r="I10" s="70">
        <v>200</v>
      </c>
      <c r="J10" s="70">
        <f t="shared" si="3"/>
        <v>0</v>
      </c>
      <c r="K10" s="127"/>
      <c r="L10" s="126">
        <v>240</v>
      </c>
      <c r="M10" s="70">
        <f t="shared" si="4"/>
        <v>200</v>
      </c>
      <c r="N10" s="127">
        <v>200</v>
      </c>
      <c r="O10" s="73">
        <f t="shared" si="5"/>
        <v>0</v>
      </c>
      <c r="Q10" s="129"/>
    </row>
    <row r="11" spans="1:17" ht="15.75" x14ac:dyDescent="0.25">
      <c r="A11" s="60" t="s">
        <v>134</v>
      </c>
      <c r="B11" s="41" t="s">
        <v>165</v>
      </c>
      <c r="C11" s="69">
        <f t="shared" si="0"/>
        <v>2.4000000000000057</v>
      </c>
      <c r="D11" s="95">
        <f>G11+(G11*$C$71)</f>
        <v>102.4</v>
      </c>
      <c r="E11" s="73"/>
      <c r="F11" s="71">
        <f t="shared" si="1"/>
        <v>100</v>
      </c>
      <c r="G11" s="126">
        <v>100</v>
      </c>
      <c r="H11" s="70">
        <f t="shared" si="2"/>
        <v>83.333333333333343</v>
      </c>
      <c r="I11" s="70">
        <v>0</v>
      </c>
      <c r="J11" s="70">
        <f t="shared" si="3"/>
        <v>83.333333333333343</v>
      </c>
      <c r="K11" s="127"/>
      <c r="L11" s="126">
        <v>0</v>
      </c>
      <c r="M11" s="70">
        <f t="shared" si="4"/>
        <v>0</v>
      </c>
      <c r="N11" s="127">
        <v>120</v>
      </c>
      <c r="O11" s="73">
        <f t="shared" si="5"/>
        <v>-120</v>
      </c>
      <c r="Q11" s="129"/>
    </row>
    <row r="12" spans="1:17" ht="15.75" x14ac:dyDescent="0.25">
      <c r="A12" s="60" t="s">
        <v>73</v>
      </c>
      <c r="B12" s="41" t="s">
        <v>165</v>
      </c>
      <c r="C12" s="69">
        <f t="shared" si="0"/>
        <v>5.7599999999999909</v>
      </c>
      <c r="D12" s="95">
        <f>G12+(G12*$C$71)</f>
        <v>245.76</v>
      </c>
      <c r="E12" s="73"/>
      <c r="F12" s="71">
        <f t="shared" si="1"/>
        <v>0</v>
      </c>
      <c r="G12" s="126">
        <v>240</v>
      </c>
      <c r="H12" s="70">
        <f t="shared" si="2"/>
        <v>200</v>
      </c>
      <c r="I12" s="70">
        <v>200</v>
      </c>
      <c r="J12" s="70">
        <f t="shared" si="3"/>
        <v>0</v>
      </c>
      <c r="K12" s="127"/>
      <c r="L12" s="126">
        <v>240</v>
      </c>
      <c r="M12" s="70">
        <f t="shared" si="4"/>
        <v>200</v>
      </c>
      <c r="N12" s="127">
        <v>200</v>
      </c>
      <c r="O12" s="73">
        <f t="shared" si="5"/>
        <v>0</v>
      </c>
      <c r="Q12" s="129"/>
    </row>
    <row r="13" spans="1:17" ht="15.75" x14ac:dyDescent="0.25">
      <c r="A13" s="60" t="s">
        <v>146</v>
      </c>
      <c r="C13" s="69">
        <f t="shared" si="0"/>
        <v>-700</v>
      </c>
      <c r="D13" s="126">
        <v>1300</v>
      </c>
      <c r="E13" s="73"/>
      <c r="F13" s="71">
        <f t="shared" si="1"/>
        <v>1000</v>
      </c>
      <c r="G13" s="126">
        <v>2000</v>
      </c>
      <c r="H13" s="70">
        <f t="shared" si="2"/>
        <v>1666.6666666666665</v>
      </c>
      <c r="I13" s="70">
        <v>1251.32</v>
      </c>
      <c r="J13" s="70">
        <f t="shared" si="3"/>
        <v>415.34666666666658</v>
      </c>
      <c r="K13" s="127"/>
      <c r="L13" s="126">
        <v>1000</v>
      </c>
      <c r="M13" s="70">
        <f t="shared" si="4"/>
        <v>833.33333333333326</v>
      </c>
      <c r="N13" s="127">
        <v>1697.51</v>
      </c>
      <c r="O13" s="73">
        <f t="shared" si="5"/>
        <v>-864.17666666666673</v>
      </c>
      <c r="Q13" s="129" t="s">
        <v>273</v>
      </c>
    </row>
    <row r="14" spans="1:17" ht="15.75" x14ac:dyDescent="0.25">
      <c r="A14" s="60"/>
      <c r="C14" s="69"/>
      <c r="D14" s="126"/>
      <c r="E14" s="73"/>
      <c r="F14" s="71"/>
      <c r="G14" s="126"/>
      <c r="H14" s="70"/>
      <c r="I14" s="70"/>
      <c r="J14" s="70"/>
      <c r="K14" s="127"/>
      <c r="L14" s="126"/>
      <c r="M14" s="70"/>
      <c r="N14" s="127"/>
      <c r="O14" s="73"/>
      <c r="Q14" s="129"/>
    </row>
    <row r="15" spans="1:17" ht="15.75" thickBot="1" x14ac:dyDescent="0.3">
      <c r="A15" s="148" t="s">
        <v>189</v>
      </c>
      <c r="C15" s="130">
        <f t="shared" ref="C15:D15" si="6">SUM(C8:C14)</f>
        <v>3.9199999999999591</v>
      </c>
      <c r="D15" s="131">
        <f t="shared" si="6"/>
        <v>2583.92</v>
      </c>
      <c r="E15" s="127"/>
      <c r="F15" s="130">
        <f t="shared" ref="F15:J15" si="7">SUM(F8:F14)</f>
        <v>100</v>
      </c>
      <c r="G15" s="131">
        <f t="shared" si="7"/>
        <v>2580</v>
      </c>
      <c r="H15" s="132">
        <f t="shared" si="7"/>
        <v>2150</v>
      </c>
      <c r="I15" s="132">
        <f t="shared" si="7"/>
        <v>1651.32</v>
      </c>
      <c r="J15" s="132">
        <f t="shared" si="7"/>
        <v>498.67999999999995</v>
      </c>
      <c r="K15" s="127"/>
      <c r="L15" s="131">
        <f>SUM(L8:L14)</f>
        <v>2480</v>
      </c>
      <c r="M15" s="132">
        <f t="shared" ref="M15:O15" si="8">SUM(M8:M14)</f>
        <v>2066.6666666666665</v>
      </c>
      <c r="N15" s="132">
        <f t="shared" si="8"/>
        <v>2848.29</v>
      </c>
      <c r="O15" s="132">
        <f t="shared" si="8"/>
        <v>-781.62333333333345</v>
      </c>
      <c r="Q15" s="129"/>
    </row>
    <row r="16" spans="1:17" x14ac:dyDescent="0.25">
      <c r="A16" s="10"/>
      <c r="C16" s="125"/>
      <c r="D16" s="134"/>
      <c r="E16" s="127"/>
      <c r="F16" s="125"/>
      <c r="G16" s="134"/>
      <c r="H16" s="127"/>
      <c r="I16" s="127"/>
      <c r="J16" s="128"/>
      <c r="K16" s="127"/>
      <c r="L16" s="134"/>
      <c r="M16" s="127"/>
      <c r="N16" s="135"/>
      <c r="O16" s="127"/>
      <c r="Q16" s="129"/>
    </row>
    <row r="17" spans="1:20" x14ac:dyDescent="0.25">
      <c r="A17" s="11" t="s">
        <v>33</v>
      </c>
      <c r="C17" s="125"/>
      <c r="D17" s="126"/>
      <c r="E17" s="127"/>
      <c r="F17" s="125"/>
      <c r="G17" s="126"/>
      <c r="H17" s="127"/>
      <c r="I17" s="127"/>
      <c r="J17" s="128"/>
      <c r="K17" s="127"/>
      <c r="L17" s="126"/>
      <c r="M17" s="127"/>
      <c r="N17" s="127"/>
      <c r="O17" s="127"/>
      <c r="Q17" s="129"/>
    </row>
    <row r="18" spans="1:20" ht="15.75" x14ac:dyDescent="0.25">
      <c r="A18" s="8" t="s">
        <v>45</v>
      </c>
      <c r="C18" s="69">
        <f t="shared" ref="C18:C24" si="9">D18-G18</f>
        <v>2812</v>
      </c>
      <c r="D18" s="126">
        <f>11028-3216</f>
        <v>7812</v>
      </c>
      <c r="E18" s="73"/>
      <c r="F18" s="71">
        <f t="shared" ref="F18:F24" si="10">G18-L18</f>
        <v>3000</v>
      </c>
      <c r="G18" s="126">
        <v>5000</v>
      </c>
      <c r="H18" s="70">
        <f t="shared" ref="H18:H24" si="11">G18/12*10</f>
        <v>4166.666666666667</v>
      </c>
      <c r="I18" s="70">
        <v>5624.07</v>
      </c>
      <c r="J18" s="70">
        <f t="shared" ref="J18:J24" si="12">H18-I18</f>
        <v>-1457.4033333333327</v>
      </c>
      <c r="K18" s="127"/>
      <c r="L18" s="126">
        <v>2000</v>
      </c>
      <c r="M18" s="70">
        <f t="shared" ref="M18:M24" si="13">L18/12*10</f>
        <v>1666.6666666666665</v>
      </c>
      <c r="N18" s="127">
        <v>4494.22</v>
      </c>
      <c r="O18" s="73">
        <f t="shared" ref="O18:O24" si="14">M18-N18</f>
        <v>-2827.5533333333337</v>
      </c>
      <c r="Q18" s="129" t="s">
        <v>259</v>
      </c>
    </row>
    <row r="19" spans="1:20" ht="15.75" x14ac:dyDescent="0.25">
      <c r="A19" s="135" t="s">
        <v>46</v>
      </c>
      <c r="C19" s="69">
        <f t="shared" si="9"/>
        <v>0</v>
      </c>
      <c r="D19" s="126">
        <v>2000</v>
      </c>
      <c r="E19" s="73"/>
      <c r="F19" s="71">
        <f t="shared" si="10"/>
        <v>500</v>
      </c>
      <c r="G19" s="126">
        <v>2000</v>
      </c>
      <c r="H19" s="70">
        <f t="shared" si="11"/>
        <v>1666.6666666666665</v>
      </c>
      <c r="I19" s="70">
        <v>1693.44</v>
      </c>
      <c r="J19" s="70">
        <f t="shared" si="12"/>
        <v>-26.773333333333539</v>
      </c>
      <c r="K19" s="127"/>
      <c r="L19" s="126">
        <v>1500</v>
      </c>
      <c r="M19" s="70">
        <f t="shared" si="13"/>
        <v>1250</v>
      </c>
      <c r="N19" s="127">
        <v>6259.78</v>
      </c>
      <c r="O19" s="73">
        <f t="shared" si="14"/>
        <v>-5009.78</v>
      </c>
      <c r="Q19" s="129"/>
      <c r="R19" s="58"/>
    </row>
    <row r="20" spans="1:20" ht="15.75" x14ac:dyDescent="0.25">
      <c r="A20" s="60" t="s">
        <v>74</v>
      </c>
      <c r="B20" s="41" t="s">
        <v>165</v>
      </c>
      <c r="C20" s="69">
        <f t="shared" si="9"/>
        <v>4.8000000000000114</v>
      </c>
      <c r="D20" s="95">
        <f>G20+(G20*$C$71)</f>
        <v>204.8</v>
      </c>
      <c r="E20" s="73"/>
      <c r="F20" s="71">
        <f t="shared" si="10"/>
        <v>0</v>
      </c>
      <c r="G20" s="126">
        <v>200</v>
      </c>
      <c r="H20" s="70">
        <f t="shared" si="11"/>
        <v>166.66666666666669</v>
      </c>
      <c r="I20" s="70">
        <v>0</v>
      </c>
      <c r="J20" s="70">
        <f t="shared" si="12"/>
        <v>166.66666666666669</v>
      </c>
      <c r="K20" s="127"/>
      <c r="L20" s="126">
        <v>200</v>
      </c>
      <c r="M20" s="70">
        <f t="shared" si="13"/>
        <v>166.66666666666669</v>
      </c>
      <c r="N20" s="127">
        <v>60</v>
      </c>
      <c r="O20" s="73">
        <f t="shared" si="14"/>
        <v>106.66666666666669</v>
      </c>
      <c r="Q20" s="129"/>
    </row>
    <row r="21" spans="1:20" ht="15.75" x14ac:dyDescent="0.25">
      <c r="A21" s="60" t="s">
        <v>48</v>
      </c>
      <c r="C21" s="69">
        <f t="shared" si="9"/>
        <v>-100</v>
      </c>
      <c r="D21" s="126">
        <v>200</v>
      </c>
      <c r="E21" s="73"/>
      <c r="F21" s="71">
        <f t="shared" si="10"/>
        <v>-300</v>
      </c>
      <c r="G21" s="126">
        <v>300</v>
      </c>
      <c r="H21" s="70">
        <f t="shared" si="11"/>
        <v>250</v>
      </c>
      <c r="I21" s="70">
        <v>155</v>
      </c>
      <c r="J21" s="70">
        <f t="shared" si="12"/>
        <v>95</v>
      </c>
      <c r="K21" s="127"/>
      <c r="L21" s="126">
        <v>600</v>
      </c>
      <c r="M21" s="70">
        <f t="shared" si="13"/>
        <v>500</v>
      </c>
      <c r="N21" s="127">
        <v>175</v>
      </c>
      <c r="O21" s="73">
        <f t="shared" si="14"/>
        <v>325</v>
      </c>
      <c r="Q21" s="129"/>
    </row>
    <row r="22" spans="1:20" ht="15.75" x14ac:dyDescent="0.25">
      <c r="A22" s="60" t="s">
        <v>49</v>
      </c>
      <c r="C22" s="69">
        <f t="shared" si="9"/>
        <v>-500</v>
      </c>
      <c r="D22" s="126">
        <v>1500</v>
      </c>
      <c r="E22" s="73"/>
      <c r="F22" s="71">
        <f t="shared" si="10"/>
        <v>0</v>
      </c>
      <c r="G22" s="126">
        <v>2000</v>
      </c>
      <c r="H22" s="70">
        <f t="shared" si="11"/>
        <v>1666.6666666666665</v>
      </c>
      <c r="I22" s="70">
        <v>1437</v>
      </c>
      <c r="J22" s="70">
        <f t="shared" si="12"/>
        <v>229.66666666666652</v>
      </c>
      <c r="K22" s="127"/>
      <c r="L22" s="126">
        <v>2000</v>
      </c>
      <c r="M22" s="70">
        <f t="shared" si="13"/>
        <v>1666.6666666666665</v>
      </c>
      <c r="N22" s="127">
        <v>3888.74</v>
      </c>
      <c r="O22" s="73">
        <f t="shared" si="14"/>
        <v>-2222.0733333333333</v>
      </c>
      <c r="Q22" s="137"/>
    </row>
    <row r="23" spans="1:20" ht="15.75" x14ac:dyDescent="0.25">
      <c r="A23" s="60" t="s">
        <v>6</v>
      </c>
      <c r="C23" s="69">
        <f t="shared" si="9"/>
        <v>-300</v>
      </c>
      <c r="D23" s="126">
        <v>3200</v>
      </c>
      <c r="E23" s="73"/>
      <c r="F23" s="71">
        <f t="shared" si="10"/>
        <v>300</v>
      </c>
      <c r="G23" s="126">
        <v>3500</v>
      </c>
      <c r="H23" s="70">
        <f t="shared" si="11"/>
        <v>2916.666666666667</v>
      </c>
      <c r="I23" s="70">
        <v>2692.97</v>
      </c>
      <c r="J23" s="70">
        <f t="shared" si="12"/>
        <v>223.69666666666717</v>
      </c>
      <c r="K23" s="127"/>
      <c r="L23" s="126">
        <v>3200</v>
      </c>
      <c r="M23" s="70">
        <f t="shared" si="13"/>
        <v>2666.666666666667</v>
      </c>
      <c r="N23" s="127">
        <v>3015</v>
      </c>
      <c r="O23" s="73">
        <f t="shared" si="14"/>
        <v>-348.33333333333303</v>
      </c>
      <c r="Q23" s="129"/>
    </row>
    <row r="24" spans="1:20" ht="15.75" x14ac:dyDescent="0.25">
      <c r="A24" s="60" t="s">
        <v>131</v>
      </c>
      <c r="C24" s="69">
        <f t="shared" si="9"/>
        <v>0</v>
      </c>
      <c r="D24" s="126">
        <v>0</v>
      </c>
      <c r="E24" s="73"/>
      <c r="F24" s="71">
        <f t="shared" si="10"/>
        <v>0</v>
      </c>
      <c r="G24" s="126">
        <v>0</v>
      </c>
      <c r="H24" s="70">
        <f t="shared" si="11"/>
        <v>0</v>
      </c>
      <c r="I24" s="70">
        <v>0</v>
      </c>
      <c r="J24" s="70">
        <f t="shared" si="12"/>
        <v>0</v>
      </c>
      <c r="K24" s="127"/>
      <c r="L24" s="126">
        <v>0</v>
      </c>
      <c r="M24" s="70">
        <f t="shared" si="13"/>
        <v>0</v>
      </c>
      <c r="N24" s="127">
        <v>60</v>
      </c>
      <c r="O24" s="73">
        <f t="shared" si="14"/>
        <v>-60</v>
      </c>
      <c r="Q24" s="129"/>
    </row>
    <row r="25" spans="1:20" ht="15.75" x14ac:dyDescent="0.25">
      <c r="A25" s="60"/>
      <c r="C25" s="69"/>
      <c r="D25" s="126"/>
      <c r="E25" s="73"/>
      <c r="F25" s="71"/>
      <c r="G25" s="126"/>
      <c r="H25" s="70"/>
      <c r="I25" s="70"/>
      <c r="J25" s="70"/>
      <c r="K25" s="127"/>
      <c r="L25" s="126"/>
      <c r="M25" s="70"/>
      <c r="N25" s="127"/>
      <c r="O25" s="73"/>
      <c r="Q25" s="129"/>
    </row>
    <row r="26" spans="1:20" ht="15.75" thickBot="1" x14ac:dyDescent="0.3">
      <c r="A26" s="148" t="s">
        <v>190</v>
      </c>
      <c r="C26" s="130">
        <f t="shared" ref="C26:D26" si="15">SUM(C17:C25)</f>
        <v>1916.8000000000002</v>
      </c>
      <c r="D26" s="131">
        <f t="shared" si="15"/>
        <v>14916.8</v>
      </c>
      <c r="E26" s="127"/>
      <c r="F26" s="130">
        <f t="shared" ref="F26:J26" si="16">SUM(F17:F25)</f>
        <v>3500</v>
      </c>
      <c r="G26" s="131">
        <f t="shared" si="16"/>
        <v>13000</v>
      </c>
      <c r="H26" s="132">
        <f t="shared" si="16"/>
        <v>10833.333333333336</v>
      </c>
      <c r="I26" s="132">
        <f t="shared" si="16"/>
        <v>11602.48</v>
      </c>
      <c r="J26" s="132">
        <f t="shared" si="16"/>
        <v>-769.14666666666585</v>
      </c>
      <c r="K26" s="127"/>
      <c r="L26" s="131">
        <f>SUM(L17:L25)</f>
        <v>9500</v>
      </c>
      <c r="M26" s="132">
        <f t="shared" ref="M26:O26" si="17">SUM(M17:M25)</f>
        <v>7916.666666666667</v>
      </c>
      <c r="N26" s="132">
        <f t="shared" si="17"/>
        <v>17952.739999999998</v>
      </c>
      <c r="O26" s="132">
        <f t="shared" si="17"/>
        <v>-10036.073333333334</v>
      </c>
      <c r="Q26" s="129"/>
    </row>
    <row r="27" spans="1:20" x14ac:dyDescent="0.25">
      <c r="A27" s="10"/>
      <c r="C27" s="125"/>
      <c r="D27" s="134"/>
      <c r="E27" s="127"/>
      <c r="F27" s="125"/>
      <c r="G27" s="134"/>
      <c r="H27" s="127"/>
      <c r="I27" s="127"/>
      <c r="J27" s="128"/>
      <c r="K27" s="127"/>
      <c r="L27" s="134"/>
      <c r="M27" s="127"/>
      <c r="N27" s="135"/>
      <c r="O27" s="127"/>
      <c r="Q27" s="129"/>
    </row>
    <row r="28" spans="1:20" x14ac:dyDescent="0.25">
      <c r="A28" s="11" t="s">
        <v>82</v>
      </c>
      <c r="C28" s="125"/>
      <c r="D28" s="126"/>
      <c r="E28" s="127"/>
      <c r="F28" s="125"/>
      <c r="G28" s="126"/>
      <c r="H28" s="127"/>
      <c r="I28" s="127"/>
      <c r="J28" s="128"/>
      <c r="K28" s="127"/>
      <c r="L28" s="126"/>
      <c r="M28" s="127"/>
      <c r="N28" s="127"/>
      <c r="O28" s="127"/>
      <c r="Q28" s="129"/>
    </row>
    <row r="29" spans="1:20" ht="15.75" x14ac:dyDescent="0.25">
      <c r="A29" s="8" t="s">
        <v>34</v>
      </c>
      <c r="C29" s="69">
        <f t="shared" ref="C29:C31" si="18">D29-G29</f>
        <v>4500</v>
      </c>
      <c r="D29" s="126">
        <v>20500</v>
      </c>
      <c r="E29" s="73"/>
      <c r="F29" s="71">
        <f t="shared" ref="F29:F31" si="19">G29-L29</f>
        <v>2000</v>
      </c>
      <c r="G29" s="126">
        <v>16000</v>
      </c>
      <c r="H29" s="70">
        <f t="shared" ref="H29:H31" si="20">G29/12*10</f>
        <v>13333.333333333332</v>
      </c>
      <c r="I29" s="70">
        <v>18556.113000000001</v>
      </c>
      <c r="J29" s="70">
        <f t="shared" ref="J29:J31" si="21">H29-I29</f>
        <v>-5222.7796666666691</v>
      </c>
      <c r="K29" s="127"/>
      <c r="L29" s="126">
        <v>14000</v>
      </c>
      <c r="M29" s="70">
        <f t="shared" ref="M29:M31" si="22">L29/12*10</f>
        <v>11666.666666666668</v>
      </c>
      <c r="N29" s="127">
        <v>16066.87</v>
      </c>
      <c r="O29" s="73">
        <f t="shared" ref="O29:O31" si="23">M29-N29</f>
        <v>-4400.2033333333329</v>
      </c>
      <c r="Q29" s="129"/>
      <c r="T29" s="58"/>
    </row>
    <row r="30" spans="1:20" ht="15.75" x14ac:dyDescent="0.25">
      <c r="A30" s="135" t="s">
        <v>7</v>
      </c>
      <c r="C30" s="69">
        <f t="shared" si="18"/>
        <v>-1000</v>
      </c>
      <c r="D30" s="126">
        <v>6000</v>
      </c>
      <c r="E30" s="73"/>
      <c r="F30" s="71">
        <f t="shared" si="19"/>
        <v>0</v>
      </c>
      <c r="G30" s="126">
        <v>7000</v>
      </c>
      <c r="H30" s="70">
        <f t="shared" si="20"/>
        <v>5833.3333333333339</v>
      </c>
      <c r="I30" s="70">
        <v>4781.47</v>
      </c>
      <c r="J30" s="70">
        <f t="shared" si="21"/>
        <v>1051.8633333333337</v>
      </c>
      <c r="K30" s="127"/>
      <c r="L30" s="126">
        <v>7000</v>
      </c>
      <c r="M30" s="70">
        <f t="shared" si="22"/>
        <v>5833.3333333333339</v>
      </c>
      <c r="N30" s="127">
        <v>5701.9</v>
      </c>
      <c r="O30" s="73">
        <f t="shared" si="23"/>
        <v>131.4333333333343</v>
      </c>
      <c r="Q30" s="129"/>
    </row>
    <row r="31" spans="1:20" ht="15.75" x14ac:dyDescent="0.25">
      <c r="A31" s="60" t="s">
        <v>147</v>
      </c>
      <c r="C31" s="69">
        <f t="shared" si="18"/>
        <v>-2000</v>
      </c>
      <c r="D31" s="126">
        <v>2000</v>
      </c>
      <c r="E31" s="73"/>
      <c r="F31" s="71">
        <f t="shared" si="19"/>
        <v>1700</v>
      </c>
      <c r="G31" s="126">
        <v>4000</v>
      </c>
      <c r="H31" s="70">
        <f t="shared" si="20"/>
        <v>3333.333333333333</v>
      </c>
      <c r="I31" s="70">
        <v>1422.47</v>
      </c>
      <c r="J31" s="70">
        <f t="shared" si="21"/>
        <v>1910.863333333333</v>
      </c>
      <c r="K31" s="127"/>
      <c r="L31" s="126">
        <v>2300</v>
      </c>
      <c r="M31" s="70">
        <f t="shared" si="22"/>
        <v>1916.6666666666665</v>
      </c>
      <c r="N31" s="127">
        <v>3436.12</v>
      </c>
      <c r="O31" s="73">
        <f t="shared" si="23"/>
        <v>-1519.4533333333334</v>
      </c>
      <c r="Q31" s="129" t="s">
        <v>274</v>
      </c>
    </row>
    <row r="32" spans="1:20" ht="15.75" x14ac:dyDescent="0.25">
      <c r="A32" s="60"/>
      <c r="C32" s="69"/>
      <c r="D32" s="126"/>
      <c r="E32" s="73"/>
      <c r="F32" s="71"/>
      <c r="G32" s="126"/>
      <c r="H32" s="70"/>
      <c r="I32" s="70"/>
      <c r="J32" s="70"/>
      <c r="K32" s="127"/>
      <c r="L32" s="126"/>
      <c r="M32" s="70"/>
      <c r="N32" s="127"/>
      <c r="O32" s="73"/>
      <c r="Q32" s="129"/>
    </row>
    <row r="33" spans="1:18" ht="15.75" thickBot="1" x14ac:dyDescent="0.3">
      <c r="A33" s="148" t="s">
        <v>191</v>
      </c>
      <c r="C33" s="130">
        <f t="shared" ref="C33:D33" si="24">SUM(C28:C32)</f>
        <v>1500</v>
      </c>
      <c r="D33" s="131">
        <f t="shared" si="24"/>
        <v>28500</v>
      </c>
      <c r="E33" s="127"/>
      <c r="F33" s="130">
        <f t="shared" ref="F33:J33" si="25">SUM(F28:F32)</f>
        <v>3700</v>
      </c>
      <c r="G33" s="131">
        <f t="shared" si="25"/>
        <v>27000</v>
      </c>
      <c r="H33" s="132">
        <f t="shared" si="25"/>
        <v>22499.999999999996</v>
      </c>
      <c r="I33" s="132">
        <f t="shared" si="25"/>
        <v>24760.053000000004</v>
      </c>
      <c r="J33" s="132">
        <f t="shared" si="25"/>
        <v>-2260.0530000000026</v>
      </c>
      <c r="K33" s="127"/>
      <c r="L33" s="131">
        <f>SUM(L28:L32)</f>
        <v>23300</v>
      </c>
      <c r="M33" s="132">
        <f t="shared" ref="M33:O33" si="26">SUM(M28:M32)</f>
        <v>19416.666666666668</v>
      </c>
      <c r="N33" s="132">
        <f t="shared" si="26"/>
        <v>25204.89</v>
      </c>
      <c r="O33" s="132">
        <f t="shared" si="26"/>
        <v>-5788.2233333333315</v>
      </c>
      <c r="Q33" s="129"/>
    </row>
    <row r="34" spans="1:18" x14ac:dyDescent="0.25">
      <c r="A34" s="10"/>
      <c r="C34" s="125"/>
      <c r="D34" s="134"/>
      <c r="E34" s="127"/>
      <c r="F34" s="125"/>
      <c r="G34" s="134"/>
      <c r="H34" s="127"/>
      <c r="I34" s="127"/>
      <c r="J34" s="128"/>
      <c r="K34" s="127"/>
      <c r="L34" s="134"/>
      <c r="M34" s="127"/>
      <c r="N34" s="135"/>
      <c r="O34" s="127"/>
      <c r="Q34" s="129"/>
    </row>
    <row r="35" spans="1:18" x14ac:dyDescent="0.25">
      <c r="A35" s="10" t="s">
        <v>5</v>
      </c>
      <c r="C35" s="125"/>
      <c r="D35" s="126"/>
      <c r="E35" s="127"/>
      <c r="F35" s="125"/>
      <c r="G35" s="126"/>
      <c r="H35" s="127"/>
      <c r="I35" s="127"/>
      <c r="J35" s="128"/>
      <c r="K35" s="127"/>
      <c r="L35" s="126"/>
      <c r="M35" s="127"/>
      <c r="N35" s="127"/>
      <c r="O35" s="127"/>
      <c r="Q35" s="129"/>
    </row>
    <row r="36" spans="1:18" ht="15.75" x14ac:dyDescent="0.25">
      <c r="A36" s="11" t="s">
        <v>47</v>
      </c>
      <c r="C36" s="69">
        <f t="shared" ref="C36:C41" si="27">D36-G36</f>
        <v>0</v>
      </c>
      <c r="D36" s="126">
        <v>1000</v>
      </c>
      <c r="E36" s="73"/>
      <c r="F36" s="71">
        <f t="shared" ref="F36:F41" si="28">G36-L36</f>
        <v>0</v>
      </c>
      <c r="G36" s="126">
        <v>1000</v>
      </c>
      <c r="H36" s="70">
        <f t="shared" ref="H36:H41" si="29">G36/12*10</f>
        <v>833.33333333333326</v>
      </c>
      <c r="I36" s="70">
        <v>655.84</v>
      </c>
      <c r="J36" s="70">
        <f t="shared" ref="J36:J41" si="30">H36-I36</f>
        <v>177.49333333333323</v>
      </c>
      <c r="K36" s="127"/>
      <c r="L36" s="126">
        <v>1000</v>
      </c>
      <c r="M36" s="70">
        <f t="shared" ref="M36:M41" si="31">L36/12*10</f>
        <v>833.33333333333326</v>
      </c>
      <c r="N36" s="127">
        <v>540</v>
      </c>
      <c r="O36" s="73">
        <f t="shared" ref="O36:O41" si="32">M36-N36</f>
        <v>293.33333333333326</v>
      </c>
      <c r="Q36" s="129"/>
    </row>
    <row r="37" spans="1:18" ht="15.75" x14ac:dyDescent="0.25">
      <c r="A37" s="135" t="s">
        <v>148</v>
      </c>
      <c r="B37" s="41" t="s">
        <v>165</v>
      </c>
      <c r="C37" s="69">
        <f t="shared" si="27"/>
        <v>3.5999999999999943</v>
      </c>
      <c r="D37" s="95">
        <f>G37+(G37*$C$71)</f>
        <v>153.6</v>
      </c>
      <c r="E37" s="73"/>
      <c r="F37" s="71">
        <f t="shared" si="28"/>
        <v>0</v>
      </c>
      <c r="G37" s="126">
        <v>150</v>
      </c>
      <c r="H37" s="70">
        <f t="shared" si="29"/>
        <v>125</v>
      </c>
      <c r="I37" s="70">
        <v>81.599999999999994</v>
      </c>
      <c r="J37" s="70">
        <f t="shared" si="30"/>
        <v>43.400000000000006</v>
      </c>
      <c r="K37" s="127"/>
      <c r="L37" s="126">
        <v>150</v>
      </c>
      <c r="M37" s="70">
        <f t="shared" si="31"/>
        <v>125</v>
      </c>
      <c r="N37" s="127">
        <v>0</v>
      </c>
      <c r="O37" s="73">
        <f t="shared" si="32"/>
        <v>125</v>
      </c>
      <c r="Q37" s="129"/>
    </row>
    <row r="38" spans="1:18" ht="15.75" x14ac:dyDescent="0.25">
      <c r="A38" s="60" t="s">
        <v>51</v>
      </c>
      <c r="C38" s="69">
        <f t="shared" si="27"/>
        <v>13</v>
      </c>
      <c r="D38" s="126">
        <v>323</v>
      </c>
      <c r="E38" s="73"/>
      <c r="F38" s="71">
        <f t="shared" si="28"/>
        <v>310</v>
      </c>
      <c r="G38" s="126">
        <v>310</v>
      </c>
      <c r="H38" s="70">
        <f t="shared" si="29"/>
        <v>258.33333333333331</v>
      </c>
      <c r="I38" s="70">
        <v>322.08</v>
      </c>
      <c r="J38" s="70">
        <f t="shared" si="30"/>
        <v>-63.74666666666667</v>
      </c>
      <c r="K38" s="127"/>
      <c r="L38" s="126">
        <v>0</v>
      </c>
      <c r="M38" s="70">
        <f t="shared" si="31"/>
        <v>0</v>
      </c>
      <c r="N38" s="127">
        <v>308.88</v>
      </c>
      <c r="O38" s="73">
        <f t="shared" si="32"/>
        <v>-308.88</v>
      </c>
      <c r="Q38" s="129"/>
    </row>
    <row r="39" spans="1:18" ht="15.75" x14ac:dyDescent="0.25">
      <c r="A39" s="60" t="s">
        <v>149</v>
      </c>
      <c r="C39" s="69">
        <f t="shared" si="27"/>
        <v>180</v>
      </c>
      <c r="D39" s="126">
        <v>300</v>
      </c>
      <c r="E39" s="73"/>
      <c r="F39" s="71">
        <f t="shared" si="28"/>
        <v>-55</v>
      </c>
      <c r="G39" s="126">
        <v>120</v>
      </c>
      <c r="H39" s="70">
        <f t="shared" si="29"/>
        <v>100</v>
      </c>
      <c r="I39" s="70">
        <v>175.2</v>
      </c>
      <c r="J39" s="70">
        <f t="shared" si="30"/>
        <v>-75.199999999999989</v>
      </c>
      <c r="K39" s="127"/>
      <c r="L39" s="126">
        <v>175</v>
      </c>
      <c r="M39" s="70">
        <f t="shared" si="31"/>
        <v>145.83333333333334</v>
      </c>
      <c r="N39" s="127">
        <v>295.2</v>
      </c>
      <c r="O39" s="73">
        <f t="shared" si="32"/>
        <v>-149.36666666666665</v>
      </c>
      <c r="Q39" s="129"/>
    </row>
    <row r="40" spans="1:18" ht="15.75" x14ac:dyDescent="0.25">
      <c r="A40" s="60" t="s">
        <v>119</v>
      </c>
      <c r="C40" s="69">
        <f t="shared" si="27"/>
        <v>-200</v>
      </c>
      <c r="D40" s="126">
        <v>0</v>
      </c>
      <c r="E40" s="73"/>
      <c r="F40" s="71">
        <f t="shared" si="28"/>
        <v>200</v>
      </c>
      <c r="G40" s="126">
        <v>200</v>
      </c>
      <c r="H40" s="70">
        <f t="shared" si="29"/>
        <v>166.66666666666669</v>
      </c>
      <c r="I40" s="70">
        <v>0</v>
      </c>
      <c r="J40" s="70">
        <f t="shared" si="30"/>
        <v>166.66666666666669</v>
      </c>
      <c r="K40" s="127"/>
      <c r="L40" s="126">
        <v>0</v>
      </c>
      <c r="M40" s="70">
        <f t="shared" si="31"/>
        <v>0</v>
      </c>
      <c r="N40" s="127">
        <v>85.58</v>
      </c>
      <c r="O40" s="73">
        <f t="shared" si="32"/>
        <v>-85.58</v>
      </c>
      <c r="Q40" s="129"/>
    </row>
    <row r="41" spans="1:18" ht="15.75" x14ac:dyDescent="0.25">
      <c r="A41" s="60" t="s">
        <v>120</v>
      </c>
      <c r="C41" s="69">
        <f t="shared" si="27"/>
        <v>-650</v>
      </c>
      <c r="D41" s="126">
        <v>100</v>
      </c>
      <c r="E41" s="73"/>
      <c r="F41" s="71">
        <f t="shared" si="28"/>
        <v>750</v>
      </c>
      <c r="G41" s="126">
        <v>750</v>
      </c>
      <c r="H41" s="70">
        <f t="shared" si="29"/>
        <v>625</v>
      </c>
      <c r="I41" s="70">
        <v>1317.79</v>
      </c>
      <c r="J41" s="70">
        <f t="shared" si="30"/>
        <v>-692.79</v>
      </c>
      <c r="K41" s="127"/>
      <c r="L41" s="126">
        <v>0</v>
      </c>
      <c r="M41" s="70">
        <f t="shared" si="31"/>
        <v>0</v>
      </c>
      <c r="N41" s="127">
        <v>2964</v>
      </c>
      <c r="O41" s="73">
        <f t="shared" si="32"/>
        <v>-2964</v>
      </c>
      <c r="Q41" s="129" t="s">
        <v>222</v>
      </c>
    </row>
    <row r="42" spans="1:18" ht="15.75" x14ac:dyDescent="0.25">
      <c r="A42" s="60"/>
      <c r="C42" s="69"/>
      <c r="D42" s="126"/>
      <c r="E42" s="73"/>
      <c r="F42" s="71"/>
      <c r="G42" s="126"/>
      <c r="H42" s="70"/>
      <c r="I42" s="70"/>
      <c r="J42" s="70"/>
      <c r="K42" s="127"/>
      <c r="L42" s="126"/>
      <c r="M42" s="127"/>
      <c r="N42" s="127"/>
      <c r="O42" s="127"/>
      <c r="Q42" s="129"/>
      <c r="R42" s="58"/>
    </row>
    <row r="43" spans="1:18" ht="15.75" thickBot="1" x14ac:dyDescent="0.3">
      <c r="A43" s="148" t="s">
        <v>192</v>
      </c>
      <c r="C43" s="130">
        <f>SUM(C35:C42)</f>
        <v>-653.4</v>
      </c>
      <c r="D43" s="131">
        <f>SUM(D35:D42)</f>
        <v>1876.6</v>
      </c>
      <c r="E43" s="127"/>
      <c r="F43" s="130">
        <f>SUM(F35:F42)</f>
        <v>1205</v>
      </c>
      <c r="G43" s="131">
        <f>SUM(G35:G42)</f>
        <v>2530</v>
      </c>
      <c r="H43" s="132">
        <f>SUM(H35:H42)</f>
        <v>2108.333333333333</v>
      </c>
      <c r="I43" s="132">
        <f>SUM(I35:I42)</f>
        <v>2552.5100000000002</v>
      </c>
      <c r="J43" s="132">
        <f>SUM(J35:J42)</f>
        <v>-444.17666666666673</v>
      </c>
      <c r="K43" s="127"/>
      <c r="L43" s="131">
        <f>SUM(L35:L42)</f>
        <v>1325</v>
      </c>
      <c r="M43" s="132">
        <f>SUM(M35:M42)</f>
        <v>1104.1666666666665</v>
      </c>
      <c r="N43" s="132">
        <f>SUM(N35:N42)</f>
        <v>4193.66</v>
      </c>
      <c r="O43" s="132">
        <f>SUM(O35:O42)</f>
        <v>-3089.4933333333333</v>
      </c>
      <c r="Q43" s="129"/>
    </row>
    <row r="44" spans="1:18" x14ac:dyDescent="0.25">
      <c r="A44" s="10"/>
      <c r="C44" s="125"/>
      <c r="D44" s="134"/>
      <c r="E44" s="127"/>
      <c r="F44" s="125"/>
      <c r="G44" s="134"/>
      <c r="H44" s="127"/>
      <c r="I44" s="127"/>
      <c r="J44" s="128"/>
      <c r="K44" s="127"/>
      <c r="L44" s="134"/>
      <c r="M44" s="127"/>
      <c r="N44" s="135"/>
      <c r="O44" s="127"/>
      <c r="Q44" s="129"/>
    </row>
    <row r="45" spans="1:18" x14ac:dyDescent="0.25">
      <c r="A45" s="10" t="s">
        <v>23</v>
      </c>
      <c r="C45" s="125"/>
      <c r="D45" s="126"/>
      <c r="E45" s="127"/>
      <c r="F45" s="125"/>
      <c r="G45" s="126"/>
      <c r="H45" s="127"/>
      <c r="I45" s="127"/>
      <c r="J45" s="128"/>
      <c r="K45" s="127"/>
      <c r="L45" s="126"/>
      <c r="M45" s="127"/>
      <c r="N45" s="127"/>
      <c r="O45" s="127"/>
      <c r="Q45" s="129"/>
    </row>
    <row r="46" spans="1:18" ht="15.75" x14ac:dyDescent="0.25">
      <c r="A46" s="11" t="s">
        <v>11</v>
      </c>
      <c r="C46" s="69">
        <f t="shared" ref="C46:C55" si="33">D46-G46</f>
        <v>-1000</v>
      </c>
      <c r="D46" s="126">
        <v>1000</v>
      </c>
      <c r="E46" s="73"/>
      <c r="F46" s="71">
        <f t="shared" ref="F46:F55" si="34">G46-L46</f>
        <v>-1500</v>
      </c>
      <c r="G46" s="126">
        <v>2000</v>
      </c>
      <c r="H46" s="70">
        <f t="shared" ref="H46:H55" si="35">G46/12*10</f>
        <v>1666.6666666666665</v>
      </c>
      <c r="I46" s="70">
        <v>760.17</v>
      </c>
      <c r="J46" s="70">
        <f t="shared" ref="J46:J55" si="36">H46-I46</f>
        <v>906.49666666666656</v>
      </c>
      <c r="K46" s="127"/>
      <c r="L46" s="126">
        <v>3500</v>
      </c>
      <c r="M46" s="70">
        <f t="shared" ref="M46:M54" si="37">L46/12*10</f>
        <v>2916.666666666667</v>
      </c>
      <c r="N46" s="127">
        <v>3591.24</v>
      </c>
      <c r="O46" s="73">
        <f t="shared" ref="O46:O54" si="38">M46-N46</f>
        <v>-674.57333333333281</v>
      </c>
      <c r="Q46" s="129"/>
    </row>
    <row r="47" spans="1:18" ht="15.75" x14ac:dyDescent="0.25">
      <c r="A47" s="135" t="s">
        <v>79</v>
      </c>
      <c r="B47" s="41" t="s">
        <v>165</v>
      </c>
      <c r="C47" s="69">
        <f t="shared" si="33"/>
        <v>4.8000000000000114</v>
      </c>
      <c r="D47" s="95">
        <f t="shared" ref="D47:D50" si="39">G47+(G47*$C$71)</f>
        <v>204.8</v>
      </c>
      <c r="E47" s="73"/>
      <c r="F47" s="71">
        <f t="shared" si="34"/>
        <v>80</v>
      </c>
      <c r="G47" s="126">
        <v>200</v>
      </c>
      <c r="H47" s="70">
        <f t="shared" si="35"/>
        <v>166.66666666666669</v>
      </c>
      <c r="I47" s="70">
        <v>917.24</v>
      </c>
      <c r="J47" s="70">
        <f t="shared" si="36"/>
        <v>-750.57333333333327</v>
      </c>
      <c r="K47" s="127"/>
      <c r="L47" s="126">
        <v>120</v>
      </c>
      <c r="M47" s="70">
        <f t="shared" si="37"/>
        <v>100</v>
      </c>
      <c r="N47" s="127">
        <v>58</v>
      </c>
      <c r="O47" s="73">
        <f t="shared" si="38"/>
        <v>42</v>
      </c>
      <c r="Q47" s="129"/>
    </row>
    <row r="48" spans="1:18" ht="15.75" x14ac:dyDescent="0.25">
      <c r="A48" s="60" t="s">
        <v>13</v>
      </c>
      <c r="B48" s="41" t="s">
        <v>165</v>
      </c>
      <c r="C48" s="69">
        <f t="shared" si="33"/>
        <v>4.8000000000000114</v>
      </c>
      <c r="D48" s="95">
        <f t="shared" si="39"/>
        <v>204.8</v>
      </c>
      <c r="E48" s="73"/>
      <c r="F48" s="71">
        <f t="shared" si="34"/>
        <v>100</v>
      </c>
      <c r="G48" s="126">
        <v>200</v>
      </c>
      <c r="H48" s="70">
        <f t="shared" si="35"/>
        <v>166.66666666666669</v>
      </c>
      <c r="I48" s="70">
        <v>216.16</v>
      </c>
      <c r="J48" s="70">
        <f t="shared" si="36"/>
        <v>-49.493333333333311</v>
      </c>
      <c r="K48" s="127"/>
      <c r="L48" s="126">
        <v>100</v>
      </c>
      <c r="M48" s="70">
        <f t="shared" si="37"/>
        <v>83.333333333333343</v>
      </c>
      <c r="N48" s="127">
        <v>0</v>
      </c>
      <c r="O48" s="73">
        <f t="shared" si="38"/>
        <v>83.333333333333343</v>
      </c>
      <c r="Q48" s="129"/>
    </row>
    <row r="49" spans="1:18" ht="15.75" x14ac:dyDescent="0.25">
      <c r="A49" s="60" t="s">
        <v>12</v>
      </c>
      <c r="B49" s="41" t="s">
        <v>165</v>
      </c>
      <c r="C49" s="69">
        <f t="shared" si="33"/>
        <v>3.5999999999999943</v>
      </c>
      <c r="D49" s="95">
        <f t="shared" si="39"/>
        <v>153.6</v>
      </c>
      <c r="E49" s="73"/>
      <c r="F49" s="71">
        <f t="shared" si="34"/>
        <v>-150</v>
      </c>
      <c r="G49" s="126">
        <v>150</v>
      </c>
      <c r="H49" s="70">
        <f t="shared" si="35"/>
        <v>125</v>
      </c>
      <c r="I49" s="70">
        <v>370.84</v>
      </c>
      <c r="J49" s="70">
        <f t="shared" si="36"/>
        <v>-245.83999999999997</v>
      </c>
      <c r="K49" s="127"/>
      <c r="L49" s="126">
        <v>300</v>
      </c>
      <c r="M49" s="70">
        <f t="shared" si="37"/>
        <v>250</v>
      </c>
      <c r="N49" s="127">
        <v>143.82</v>
      </c>
      <c r="O49" s="73">
        <f t="shared" si="38"/>
        <v>106.18</v>
      </c>
      <c r="Q49" s="129"/>
    </row>
    <row r="50" spans="1:18" ht="15.75" x14ac:dyDescent="0.25">
      <c r="A50" s="60" t="s">
        <v>151</v>
      </c>
      <c r="B50" s="41" t="s">
        <v>165</v>
      </c>
      <c r="C50" s="69">
        <f t="shared" si="33"/>
        <v>1.2000000000000028</v>
      </c>
      <c r="D50" s="95">
        <f t="shared" si="39"/>
        <v>51.2</v>
      </c>
      <c r="E50" s="73"/>
      <c r="F50" s="71">
        <f t="shared" si="34"/>
        <v>0</v>
      </c>
      <c r="G50" s="126">
        <v>50</v>
      </c>
      <c r="H50" s="70">
        <f t="shared" si="35"/>
        <v>41.666666666666671</v>
      </c>
      <c r="I50" s="70">
        <v>516</v>
      </c>
      <c r="J50" s="70">
        <f t="shared" si="36"/>
        <v>-474.33333333333331</v>
      </c>
      <c r="K50" s="127"/>
      <c r="L50" s="126">
        <v>50</v>
      </c>
      <c r="M50" s="70">
        <f t="shared" si="37"/>
        <v>41.666666666666671</v>
      </c>
      <c r="N50" s="127">
        <v>30</v>
      </c>
      <c r="O50" s="73">
        <f t="shared" si="38"/>
        <v>11.666666666666671</v>
      </c>
      <c r="Q50" s="129"/>
    </row>
    <row r="51" spans="1:18" ht="15.75" x14ac:dyDescent="0.25">
      <c r="A51" s="60" t="s">
        <v>52</v>
      </c>
      <c r="C51" s="69">
        <f t="shared" si="33"/>
        <v>100</v>
      </c>
      <c r="D51" s="126">
        <v>400</v>
      </c>
      <c r="E51" s="73"/>
      <c r="F51" s="71">
        <f t="shared" si="34"/>
        <v>0</v>
      </c>
      <c r="G51" s="126">
        <v>300</v>
      </c>
      <c r="H51" s="70">
        <f t="shared" si="35"/>
        <v>250</v>
      </c>
      <c r="I51" s="70">
        <v>256</v>
      </c>
      <c r="J51" s="70">
        <f t="shared" si="36"/>
        <v>-6</v>
      </c>
      <c r="K51" s="127"/>
      <c r="L51" s="126">
        <v>300</v>
      </c>
      <c r="M51" s="70">
        <f t="shared" si="37"/>
        <v>250</v>
      </c>
      <c r="N51" s="127">
        <v>2075</v>
      </c>
      <c r="O51" s="73">
        <f t="shared" si="38"/>
        <v>-1825</v>
      </c>
      <c r="Q51" s="129"/>
    </row>
    <row r="52" spans="1:18" ht="15.75" x14ac:dyDescent="0.25">
      <c r="A52" s="60" t="s">
        <v>16</v>
      </c>
      <c r="B52" s="41" t="s">
        <v>165</v>
      </c>
      <c r="C52" s="69">
        <f t="shared" si="33"/>
        <v>4.8000000000000114</v>
      </c>
      <c r="D52" s="95">
        <f>G52+(G52*$C$71)</f>
        <v>204.8</v>
      </c>
      <c r="E52" s="73"/>
      <c r="F52" s="71">
        <f t="shared" si="34"/>
        <v>0</v>
      </c>
      <c r="G52" s="126">
        <v>200</v>
      </c>
      <c r="H52" s="70">
        <f t="shared" si="35"/>
        <v>166.66666666666669</v>
      </c>
      <c r="I52" s="70">
        <v>22.86</v>
      </c>
      <c r="J52" s="70">
        <f t="shared" si="36"/>
        <v>143.80666666666667</v>
      </c>
      <c r="K52" s="127"/>
      <c r="L52" s="126">
        <v>200</v>
      </c>
      <c r="M52" s="70">
        <f t="shared" si="37"/>
        <v>166.66666666666669</v>
      </c>
      <c r="N52" s="127">
        <v>443.97</v>
      </c>
      <c r="O52" s="73">
        <f t="shared" si="38"/>
        <v>-277.30333333333334</v>
      </c>
      <c r="Q52" s="198"/>
    </row>
    <row r="53" spans="1:18" ht="15.75" x14ac:dyDescent="0.25">
      <c r="A53" s="177" t="s">
        <v>39</v>
      </c>
      <c r="C53" s="69">
        <f t="shared" si="33"/>
        <v>0</v>
      </c>
      <c r="D53" s="126">
        <v>1200</v>
      </c>
      <c r="E53" s="73"/>
      <c r="F53" s="71">
        <f t="shared" si="34"/>
        <v>1000</v>
      </c>
      <c r="G53" s="126">
        <v>1200</v>
      </c>
      <c r="H53" s="70">
        <f t="shared" si="35"/>
        <v>1000</v>
      </c>
      <c r="I53" s="70">
        <v>2893.64</v>
      </c>
      <c r="J53" s="70">
        <f t="shared" si="36"/>
        <v>-1893.6399999999999</v>
      </c>
      <c r="K53" s="127"/>
      <c r="L53" s="126">
        <v>200</v>
      </c>
      <c r="M53" s="70">
        <f t="shared" si="37"/>
        <v>166.66666666666669</v>
      </c>
      <c r="N53" s="127">
        <v>773.47</v>
      </c>
      <c r="O53" s="73">
        <f t="shared" si="38"/>
        <v>-606.80333333333328</v>
      </c>
      <c r="Q53" s="129" t="s">
        <v>260</v>
      </c>
    </row>
    <row r="54" spans="1:18" ht="15.75" x14ac:dyDescent="0.25">
      <c r="A54" s="177" t="s">
        <v>127</v>
      </c>
      <c r="C54" s="69">
        <f t="shared" si="33"/>
        <v>-623.6</v>
      </c>
      <c r="D54" s="126">
        <v>0</v>
      </c>
      <c r="E54" s="73"/>
      <c r="F54" s="71">
        <f t="shared" si="34"/>
        <v>623.6</v>
      </c>
      <c r="G54" s="126">
        <v>623.6</v>
      </c>
      <c r="H54" s="70">
        <f t="shared" si="35"/>
        <v>519.66666666666674</v>
      </c>
      <c r="I54" s="70">
        <v>0</v>
      </c>
      <c r="J54" s="70">
        <f t="shared" si="36"/>
        <v>519.66666666666674</v>
      </c>
      <c r="K54" s="127"/>
      <c r="L54" s="126">
        <v>0</v>
      </c>
      <c r="M54" s="70">
        <f t="shared" si="37"/>
        <v>0</v>
      </c>
      <c r="N54" s="127">
        <v>0</v>
      </c>
      <c r="O54" s="73">
        <f t="shared" si="38"/>
        <v>0</v>
      </c>
      <c r="Q54" s="129"/>
    </row>
    <row r="55" spans="1:18" ht="15.75" x14ac:dyDescent="0.25">
      <c r="A55" s="177" t="s">
        <v>152</v>
      </c>
      <c r="C55" s="69">
        <f t="shared" si="33"/>
        <v>654.53968253968253</v>
      </c>
      <c r="D55" s="126">
        <f>Reserves!W6</f>
        <v>654.53968253968253</v>
      </c>
      <c r="E55" s="73"/>
      <c r="F55" s="71">
        <f t="shared" si="34"/>
        <v>0</v>
      </c>
      <c r="G55" s="126">
        <v>0</v>
      </c>
      <c r="H55" s="70">
        <f t="shared" si="35"/>
        <v>0</v>
      </c>
      <c r="I55" s="70">
        <v>0</v>
      </c>
      <c r="J55" s="70">
        <f t="shared" si="36"/>
        <v>0</v>
      </c>
      <c r="K55" s="127"/>
      <c r="L55" s="126">
        <v>0</v>
      </c>
      <c r="M55" s="70">
        <f t="shared" ref="M55" si="40">L55/12*10</f>
        <v>0</v>
      </c>
      <c r="N55" s="127">
        <v>0</v>
      </c>
      <c r="O55" s="73">
        <f t="shared" ref="O55" si="41">M55-N55</f>
        <v>0</v>
      </c>
      <c r="Q55" s="129" t="s">
        <v>261</v>
      </c>
    </row>
    <row r="56" spans="1:18" ht="15.75" x14ac:dyDescent="0.25">
      <c r="A56" s="177"/>
      <c r="C56" s="69"/>
      <c r="D56" s="126"/>
      <c r="E56" s="73"/>
      <c r="F56" s="71"/>
      <c r="G56" s="126"/>
      <c r="H56" s="70"/>
      <c r="I56" s="70"/>
      <c r="J56" s="70"/>
      <c r="K56" s="127"/>
      <c r="L56" s="126"/>
      <c r="M56" s="127"/>
      <c r="N56" s="127"/>
      <c r="O56" s="127"/>
      <c r="Q56" s="129"/>
    </row>
    <row r="57" spans="1:18" ht="15.75" thickBot="1" x14ac:dyDescent="0.3">
      <c r="A57" s="148" t="s">
        <v>170</v>
      </c>
      <c r="C57" s="130">
        <f t="shared" ref="C57:D57" si="42">SUM(C45:C56)</f>
        <v>-849.86031746031756</v>
      </c>
      <c r="D57" s="131">
        <f t="shared" si="42"/>
        <v>4073.7396825396822</v>
      </c>
      <c r="E57" s="127"/>
      <c r="F57" s="130">
        <f t="shared" ref="F57:J57" si="43">SUM(F45:F56)</f>
        <v>153.60000000000002</v>
      </c>
      <c r="G57" s="131">
        <f t="shared" si="43"/>
        <v>4923.6000000000004</v>
      </c>
      <c r="H57" s="132">
        <f t="shared" si="43"/>
        <v>4103</v>
      </c>
      <c r="I57" s="132">
        <f t="shared" si="43"/>
        <v>5952.91</v>
      </c>
      <c r="J57" s="132">
        <f t="shared" si="43"/>
        <v>-1849.9099999999996</v>
      </c>
      <c r="K57" s="127"/>
      <c r="L57" s="131">
        <f>SUM(L45:L56)</f>
        <v>4770</v>
      </c>
      <c r="M57" s="132">
        <f t="shared" ref="M57:O57" si="44">SUM(M45:M56)</f>
        <v>3975</v>
      </c>
      <c r="N57" s="132">
        <f t="shared" si="44"/>
        <v>7115.5</v>
      </c>
      <c r="O57" s="132">
        <f t="shared" si="44"/>
        <v>-3140.4999999999991</v>
      </c>
      <c r="Q57" s="129"/>
    </row>
    <row r="58" spans="1:18" x14ac:dyDescent="0.25">
      <c r="A58" s="10"/>
      <c r="C58" s="125"/>
      <c r="D58" s="134"/>
      <c r="E58" s="127"/>
      <c r="F58" s="125"/>
      <c r="G58" s="134"/>
      <c r="H58" s="127"/>
      <c r="I58" s="127"/>
      <c r="J58" s="128"/>
      <c r="K58" s="127"/>
      <c r="L58" s="134"/>
      <c r="M58" s="127"/>
      <c r="N58" s="135"/>
      <c r="O58" s="127"/>
      <c r="Q58" s="129"/>
    </row>
    <row r="59" spans="1:18" x14ac:dyDescent="0.25">
      <c r="A59" s="10" t="s">
        <v>35</v>
      </c>
      <c r="C59" s="125"/>
      <c r="D59" s="126"/>
      <c r="E59" s="127"/>
      <c r="F59" s="125"/>
      <c r="G59" s="126"/>
      <c r="H59" s="127"/>
      <c r="I59" s="127"/>
      <c r="J59" s="128"/>
      <c r="K59" s="127"/>
      <c r="L59" s="126"/>
      <c r="M59" s="127"/>
      <c r="N59" s="127"/>
      <c r="O59" s="127"/>
      <c r="Q59" s="129"/>
    </row>
    <row r="60" spans="1:18" ht="15.75" x14ac:dyDescent="0.25">
      <c r="A60" s="8" t="s">
        <v>94</v>
      </c>
      <c r="C60" s="69">
        <f t="shared" ref="C60:C61" si="45">D60-G60</f>
        <v>698</v>
      </c>
      <c r="D60" s="126">
        <v>1098</v>
      </c>
      <c r="E60" s="73"/>
      <c r="F60" s="71">
        <f t="shared" ref="F60:F61" si="46">G60-L60</f>
        <v>100</v>
      </c>
      <c r="G60" s="126">
        <v>400</v>
      </c>
      <c r="H60" s="70">
        <f t="shared" ref="H60:H61" si="47">G60/12*10</f>
        <v>333.33333333333337</v>
      </c>
      <c r="I60" s="70">
        <v>398.31</v>
      </c>
      <c r="J60" s="70">
        <f t="shared" ref="J60:J61" si="48">H60-I60</f>
        <v>-64.976666666666631</v>
      </c>
      <c r="K60" s="127"/>
      <c r="L60" s="126">
        <v>300</v>
      </c>
      <c r="M60" s="70">
        <f t="shared" ref="M60:M61" si="49">L60/12*10</f>
        <v>250</v>
      </c>
      <c r="N60" s="127">
        <v>376</v>
      </c>
      <c r="O60" s="73">
        <f t="shared" ref="O60:O61" si="50">M60-N60</f>
        <v>-126</v>
      </c>
      <c r="Q60" s="129" t="s">
        <v>262</v>
      </c>
    </row>
    <row r="61" spans="1:18" ht="15.75" x14ac:dyDescent="0.25">
      <c r="A61" s="135" t="s">
        <v>95</v>
      </c>
      <c r="C61" s="69">
        <f t="shared" si="45"/>
        <v>-20.140712945590991</v>
      </c>
      <c r="D61" s="126">
        <f>Insurance!F22</f>
        <v>229.85928705440901</v>
      </c>
      <c r="E61" s="73"/>
      <c r="F61" s="71">
        <f t="shared" si="46"/>
        <v>50</v>
      </c>
      <c r="G61" s="126">
        <v>250</v>
      </c>
      <c r="H61" s="70">
        <f t="shared" si="47"/>
        <v>208.33333333333331</v>
      </c>
      <c r="I61" s="70">
        <v>0</v>
      </c>
      <c r="J61" s="70">
        <f t="shared" si="48"/>
        <v>208.33333333333331</v>
      </c>
      <c r="K61" s="127"/>
      <c r="L61" s="126">
        <v>200</v>
      </c>
      <c r="M61" s="70">
        <f t="shared" si="49"/>
        <v>166.66666666666669</v>
      </c>
      <c r="N61" s="127">
        <v>250</v>
      </c>
      <c r="O61" s="73">
        <f t="shared" si="50"/>
        <v>-83.333333333333314</v>
      </c>
      <c r="Q61" s="85" t="s">
        <v>211</v>
      </c>
      <c r="R61" s="58"/>
    </row>
    <row r="62" spans="1:18" ht="15.75" x14ac:dyDescent="0.25">
      <c r="A62" s="44"/>
      <c r="C62" s="69"/>
      <c r="D62" s="126"/>
      <c r="E62" s="73"/>
      <c r="F62" s="71"/>
      <c r="G62" s="126"/>
      <c r="H62" s="70"/>
      <c r="I62" s="70"/>
      <c r="J62" s="70"/>
      <c r="K62" s="127"/>
      <c r="L62" s="126"/>
      <c r="M62" s="70"/>
      <c r="N62" s="127"/>
      <c r="O62" s="73"/>
    </row>
    <row r="63" spans="1:18" ht="15.75" thickBot="1" x14ac:dyDescent="0.3">
      <c r="A63" s="148" t="s">
        <v>193</v>
      </c>
      <c r="C63" s="130">
        <f t="shared" ref="C63:D63" si="51">SUM(C59:C62)</f>
        <v>677.85928705440904</v>
      </c>
      <c r="D63" s="131">
        <f t="shared" si="51"/>
        <v>1327.8592870544089</v>
      </c>
      <c r="E63" s="127"/>
      <c r="F63" s="130">
        <f t="shared" ref="F63:J63" si="52">SUM(F59:F62)</f>
        <v>150</v>
      </c>
      <c r="G63" s="131">
        <f t="shared" si="52"/>
        <v>650</v>
      </c>
      <c r="H63" s="132">
        <f t="shared" si="52"/>
        <v>541.66666666666674</v>
      </c>
      <c r="I63" s="132">
        <f t="shared" si="52"/>
        <v>398.31</v>
      </c>
      <c r="J63" s="132">
        <f t="shared" si="52"/>
        <v>143.35666666666668</v>
      </c>
      <c r="K63" s="127"/>
      <c r="L63" s="131">
        <f>SUM(L59:L62)</f>
        <v>500</v>
      </c>
      <c r="M63" s="132">
        <f t="shared" ref="M63:O63" si="53">SUM(M59:M62)</f>
        <v>416.66666666666669</v>
      </c>
      <c r="N63" s="132">
        <f t="shared" si="53"/>
        <v>626</v>
      </c>
      <c r="O63" s="132">
        <f t="shared" si="53"/>
        <v>-209.33333333333331</v>
      </c>
    </row>
    <row r="64" spans="1:18" x14ac:dyDescent="0.25">
      <c r="A64" s="10"/>
      <c r="C64" s="125"/>
      <c r="D64" s="134"/>
      <c r="E64" s="127"/>
      <c r="F64" s="125"/>
      <c r="G64" s="134"/>
      <c r="H64" s="127"/>
      <c r="I64" s="127"/>
      <c r="J64" s="128"/>
      <c r="K64" s="127"/>
      <c r="L64" s="134"/>
      <c r="M64" s="127"/>
      <c r="N64" s="135"/>
      <c r="O64" s="127"/>
    </row>
    <row r="65" spans="1:18" ht="15.75" thickBot="1" x14ac:dyDescent="0.3">
      <c r="A65" s="148" t="s">
        <v>168</v>
      </c>
      <c r="C65" s="180">
        <f>C15+C26+C33+C43+C57+C63</f>
        <v>2595.3189695940914</v>
      </c>
      <c r="D65" s="179">
        <f>D15+D26+D33+D43+D57+D63</f>
        <v>53278.918969594088</v>
      </c>
      <c r="E65" s="127"/>
      <c r="F65" s="180">
        <f>F15+F26+F33+F43+F57+F63</f>
        <v>8808.6</v>
      </c>
      <c r="G65" s="179">
        <f>G15+G26+G33+G43+G57+G63</f>
        <v>50683.6</v>
      </c>
      <c r="H65" s="178">
        <f>H15+H26+H33+H43+H57+H63</f>
        <v>42236.333333333328</v>
      </c>
      <c r="I65" s="178">
        <f>I15+I26+I33+I43+I57+I63</f>
        <v>46917.582999999999</v>
      </c>
      <c r="J65" s="178">
        <f>J15+J26+J33+J43+J57+J63</f>
        <v>-4681.2496666666684</v>
      </c>
      <c r="K65" s="127"/>
      <c r="L65" s="179">
        <f>L15+L26+L33+L43+L57+L63</f>
        <v>41875</v>
      </c>
      <c r="M65" s="178">
        <f>M15+M26+M33+M43+M57+M63</f>
        <v>34895.833333333336</v>
      </c>
      <c r="N65" s="178">
        <f>N15+N26+N33+N43+N57+N63</f>
        <v>57941.08</v>
      </c>
      <c r="O65" s="178">
        <f>O15+O26+O33+O43+O57+O63</f>
        <v>-23045.246666666662</v>
      </c>
    </row>
    <row r="66" spans="1:18" x14ac:dyDescent="0.25">
      <c r="A66" s="11"/>
      <c r="C66" s="125"/>
      <c r="D66" s="126"/>
      <c r="E66" s="127"/>
      <c r="F66" s="125"/>
      <c r="G66" s="134"/>
      <c r="H66" s="127"/>
      <c r="I66" s="127"/>
      <c r="J66" s="128"/>
      <c r="K66" s="127"/>
      <c r="L66" s="134"/>
      <c r="M66" s="127"/>
      <c r="N66" s="135"/>
      <c r="O66" s="127"/>
    </row>
    <row r="67" spans="1:18" ht="15.75" x14ac:dyDescent="0.25">
      <c r="A67" s="160" t="s">
        <v>100</v>
      </c>
      <c r="C67" s="69">
        <f>D67-G67</f>
        <v>0</v>
      </c>
      <c r="D67" s="126">
        <f>Reserves!F6</f>
        <v>12000</v>
      </c>
      <c r="E67" s="73"/>
      <c r="F67" s="71">
        <f>G67-L67</f>
        <v>0</v>
      </c>
      <c r="G67" s="126">
        <v>12000</v>
      </c>
      <c r="H67" s="70">
        <f>G67/12*10</f>
        <v>10000</v>
      </c>
      <c r="I67" s="70">
        <v>0</v>
      </c>
      <c r="J67" s="70">
        <f>H67-I67</f>
        <v>10000</v>
      </c>
      <c r="K67" s="127"/>
      <c r="L67" s="126">
        <v>12000</v>
      </c>
      <c r="M67" s="70">
        <f>L67/12*10</f>
        <v>10000</v>
      </c>
      <c r="N67" s="127">
        <v>0</v>
      </c>
      <c r="O67" s="73">
        <f>M67-N67</f>
        <v>10000</v>
      </c>
    </row>
    <row r="68" spans="1:18" ht="15.75" x14ac:dyDescent="0.25">
      <c r="A68" s="11"/>
      <c r="C68" s="69"/>
      <c r="D68" s="126"/>
      <c r="E68" s="73"/>
      <c r="F68" s="71"/>
      <c r="G68" s="126"/>
      <c r="H68" s="70"/>
      <c r="I68" s="70"/>
      <c r="J68" s="70"/>
      <c r="K68" s="127"/>
      <c r="L68" s="126"/>
      <c r="M68" s="70"/>
      <c r="N68" s="127"/>
      <c r="O68" s="73"/>
    </row>
    <row r="69" spans="1:18" ht="15.75" thickBot="1" x14ac:dyDescent="0.3">
      <c r="A69" s="148" t="s">
        <v>1</v>
      </c>
      <c r="C69" s="180">
        <f t="shared" ref="C69:D69" si="54">SUM(C65:C68)</f>
        <v>2595.3189695940914</v>
      </c>
      <c r="D69" s="179">
        <f t="shared" si="54"/>
        <v>65278.918969594088</v>
      </c>
      <c r="E69" s="127"/>
      <c r="F69" s="180">
        <f t="shared" ref="F69:J69" si="55">SUM(F65:F68)</f>
        <v>8808.6</v>
      </c>
      <c r="G69" s="179">
        <f t="shared" si="55"/>
        <v>62683.6</v>
      </c>
      <c r="H69" s="178">
        <f t="shared" si="55"/>
        <v>52236.333333333328</v>
      </c>
      <c r="I69" s="178">
        <f t="shared" si="55"/>
        <v>46917.582999999999</v>
      </c>
      <c r="J69" s="178">
        <f t="shared" si="55"/>
        <v>5318.7503333333316</v>
      </c>
      <c r="K69" s="127"/>
      <c r="L69" s="179">
        <f>SUM(L65:L68)</f>
        <v>53875</v>
      </c>
      <c r="M69" s="178">
        <f t="shared" ref="M69:O69" si="56">SUM(M65:M68)</f>
        <v>44895.833333333336</v>
      </c>
      <c r="N69" s="178">
        <f t="shared" si="56"/>
        <v>57941.08</v>
      </c>
      <c r="O69" s="178">
        <f t="shared" si="56"/>
        <v>-13045.246666666662</v>
      </c>
      <c r="Q69" s="169">
        <f>SUM(C69:P69)</f>
        <v>387505.77127252152</v>
      </c>
      <c r="R69" s="170" t="s">
        <v>173</v>
      </c>
    </row>
    <row r="70" spans="1:18" x14ac:dyDescent="0.25">
      <c r="L70" s="46"/>
    </row>
    <row r="71" spans="1:18" x14ac:dyDescent="0.25">
      <c r="A71" s="5" t="s">
        <v>164</v>
      </c>
      <c r="B71" s="5"/>
      <c r="C71" s="110">
        <f>Summary!$C$26</f>
        <v>2.4E-2</v>
      </c>
    </row>
  </sheetData>
  <sheetProtection algorithmName="SHA-512" hashValue="mQQrWHIr5/k8bqxh+wEivBBprRUqO4JvHdymxQCGFzRThJv+Cegapkrg0rPESlu7C8VHx1K5I4sPqwMeHKKnQQ==" saltValue="531Q3kH3Ag/L5JrnXLThcQ==" spinCount="100000" sheet="1" objects="1" scenarios="1"/>
  <mergeCells count="10">
    <mergeCell ref="C4:D4"/>
    <mergeCell ref="G4:J4"/>
    <mergeCell ref="L4:O4"/>
    <mergeCell ref="C5:C6"/>
    <mergeCell ref="D5:D6"/>
    <mergeCell ref="F5:F6"/>
    <mergeCell ref="G5:H5"/>
    <mergeCell ref="L5:M5"/>
    <mergeCell ref="H6:J6"/>
    <mergeCell ref="M6:O6"/>
  </mergeCells>
  <phoneticPr fontId="20" type="noConversion"/>
  <pageMargins left="0.70866141732283472" right="0.70866141732283472" top="7.874015748031496E-2" bottom="7.874015748031496E-2" header="0.31496062992125984" footer="0.31496062992125984"/>
  <pageSetup scale="6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2"/>
  <sheetViews>
    <sheetView showGridLines="0" zoomScale="80" zoomScaleNormal="80" workbookViewId="0"/>
  </sheetViews>
  <sheetFormatPr defaultRowHeight="15" x14ac:dyDescent="0.2"/>
  <cols>
    <col min="1" max="1" width="40.7109375" style="278" customWidth="1"/>
    <col min="2" max="2" width="2.7109375" style="278" customWidth="1"/>
    <col min="3" max="4" width="11.7109375" style="278" customWidth="1"/>
    <col min="5" max="5" width="2.7109375" style="281" customWidth="1"/>
    <col min="6" max="9" width="11.7109375" style="281" customWidth="1"/>
    <col min="10" max="10" width="11.7109375" style="278" customWidth="1"/>
    <col min="11" max="11" width="2.7109375" style="278" customWidth="1"/>
    <col min="12" max="15" width="11.7109375" style="278" customWidth="1"/>
    <col min="16" max="16" width="2.7109375" style="278" customWidth="1"/>
    <col min="17" max="16384" width="9.140625" style="278"/>
  </cols>
  <sheetData>
    <row r="1" spans="1:18" ht="21" x14ac:dyDescent="0.2">
      <c r="A1" s="63" t="s">
        <v>124</v>
      </c>
      <c r="B1" s="64"/>
      <c r="C1" s="65"/>
      <c r="D1" s="65"/>
      <c r="E1" s="65"/>
      <c r="F1" s="66" t="s">
        <v>166</v>
      </c>
    </row>
    <row r="3" spans="1:18" ht="21" x14ac:dyDescent="0.2">
      <c r="A3" s="66" t="s">
        <v>8</v>
      </c>
      <c r="B3" s="65"/>
      <c r="C3" s="65"/>
      <c r="D3" s="65"/>
      <c r="E3" s="65"/>
      <c r="F3" s="65"/>
      <c r="G3" s="64"/>
      <c r="H3" s="278"/>
      <c r="I3" s="278"/>
    </row>
    <row r="4" spans="1:18" ht="21" x14ac:dyDescent="0.2">
      <c r="A4" s="21"/>
      <c r="B4" s="21"/>
      <c r="C4" s="313">
        <v>2019</v>
      </c>
      <c r="D4" s="313"/>
      <c r="E4" s="271"/>
      <c r="F4" s="21"/>
      <c r="G4" s="313">
        <v>2018</v>
      </c>
      <c r="H4" s="314"/>
      <c r="I4" s="314"/>
      <c r="J4" s="314"/>
      <c r="K4" s="21"/>
      <c r="L4" s="313">
        <v>2017</v>
      </c>
      <c r="M4" s="313"/>
      <c r="N4" s="313"/>
      <c r="O4" s="313"/>
      <c r="P4" s="271"/>
      <c r="Q4" s="24" t="s">
        <v>98</v>
      </c>
    </row>
    <row r="5" spans="1:18" x14ac:dyDescent="0.2">
      <c r="A5" s="31"/>
      <c r="B5" s="31"/>
      <c r="C5" s="315" t="s">
        <v>163</v>
      </c>
      <c r="D5" s="317" t="s">
        <v>44</v>
      </c>
      <c r="E5" s="31"/>
      <c r="F5" s="315" t="s">
        <v>162</v>
      </c>
      <c r="G5" s="320" t="s">
        <v>161</v>
      </c>
      <c r="H5" s="320"/>
      <c r="I5" s="275" t="s">
        <v>117</v>
      </c>
      <c r="J5" s="275" t="s">
        <v>97</v>
      </c>
      <c r="K5" s="31"/>
      <c r="L5" s="320" t="s">
        <v>161</v>
      </c>
      <c r="M5" s="310"/>
      <c r="N5" s="275" t="s">
        <v>117</v>
      </c>
      <c r="O5" s="275" t="s">
        <v>97</v>
      </c>
      <c r="P5" s="275"/>
      <c r="Q5" s="16"/>
    </row>
    <row r="6" spans="1:18" x14ac:dyDescent="0.2">
      <c r="A6" s="31"/>
      <c r="B6" s="31"/>
      <c r="C6" s="316"/>
      <c r="D6" s="318"/>
      <c r="E6" s="31"/>
      <c r="F6" s="319"/>
      <c r="G6" s="34" t="s">
        <v>159</v>
      </c>
      <c r="H6" s="321" t="s">
        <v>160</v>
      </c>
      <c r="I6" s="310"/>
      <c r="J6" s="310"/>
      <c r="K6" s="31"/>
      <c r="L6" s="34" t="s">
        <v>159</v>
      </c>
      <c r="M6" s="321" t="s">
        <v>160</v>
      </c>
      <c r="N6" s="310"/>
      <c r="O6" s="310"/>
      <c r="P6" s="275"/>
      <c r="Q6" s="16"/>
    </row>
    <row r="7" spans="1:18" x14ac:dyDescent="0.2">
      <c r="A7" s="31"/>
      <c r="B7" s="31"/>
      <c r="C7" s="272"/>
      <c r="D7" s="273"/>
      <c r="E7" s="31"/>
      <c r="F7" s="274"/>
      <c r="G7" s="34"/>
      <c r="H7" s="277"/>
      <c r="I7" s="276"/>
      <c r="J7" s="276"/>
      <c r="K7" s="31"/>
      <c r="L7" s="34"/>
      <c r="M7" s="277"/>
      <c r="N7" s="276"/>
      <c r="O7" s="276"/>
      <c r="P7" s="275"/>
      <c r="Q7" s="16"/>
    </row>
    <row r="8" spans="1:18" ht="15.75" x14ac:dyDescent="0.2">
      <c r="A8" s="10" t="s">
        <v>2</v>
      </c>
      <c r="B8" s="67"/>
      <c r="C8" s="71"/>
      <c r="D8" s="72"/>
      <c r="E8" s="73"/>
      <c r="F8" s="71"/>
      <c r="G8" s="72"/>
      <c r="H8" s="73"/>
      <c r="I8" s="73"/>
      <c r="J8" s="73"/>
      <c r="K8" s="73"/>
      <c r="L8" s="72"/>
      <c r="M8" s="73"/>
      <c r="N8" s="73"/>
      <c r="O8" s="73"/>
      <c r="P8" s="38"/>
      <c r="Q8" s="38"/>
    </row>
    <row r="9" spans="1:18" ht="15.75" x14ac:dyDescent="0.2">
      <c r="A9" s="11" t="s">
        <v>80</v>
      </c>
      <c r="B9" s="68"/>
      <c r="C9" s="69">
        <f t="shared" ref="C9:C14" si="0">D9-G9</f>
        <v>2242.5999999999985</v>
      </c>
      <c r="D9" s="74">
        <v>32492.6</v>
      </c>
      <c r="E9" s="73"/>
      <c r="F9" s="71">
        <f t="shared" ref="F9:F14" si="1">G9-L9</f>
        <v>1666</v>
      </c>
      <c r="G9" s="282">
        <v>30250</v>
      </c>
      <c r="H9" s="70">
        <f t="shared" ref="H9:H14" si="2">G9/12*10</f>
        <v>25208.333333333336</v>
      </c>
      <c r="I9" s="281">
        <v>-1375</v>
      </c>
      <c r="J9" s="70">
        <f t="shared" ref="J9:J14" si="3">H9-I9</f>
        <v>26583.333333333336</v>
      </c>
      <c r="K9" s="73"/>
      <c r="L9" s="282">
        <v>28584</v>
      </c>
      <c r="M9" s="70">
        <f>L9/12*10</f>
        <v>23820</v>
      </c>
      <c r="N9" s="281">
        <v>30250.18</v>
      </c>
      <c r="O9" s="73">
        <f>M9-N9</f>
        <v>-6430.18</v>
      </c>
      <c r="P9" s="39"/>
      <c r="Q9" s="278" t="s">
        <v>135</v>
      </c>
    </row>
    <row r="10" spans="1:18" ht="15.75" x14ac:dyDescent="0.2">
      <c r="A10" s="11" t="s">
        <v>9</v>
      </c>
      <c r="B10" s="68" t="s">
        <v>165</v>
      </c>
      <c r="C10" s="69">
        <f t="shared" si="0"/>
        <v>9.3400000000000318</v>
      </c>
      <c r="D10" s="95">
        <v>533.34</v>
      </c>
      <c r="E10" s="73"/>
      <c r="F10" s="71">
        <f t="shared" si="1"/>
        <v>48</v>
      </c>
      <c r="G10" s="282">
        <v>524</v>
      </c>
      <c r="H10" s="70">
        <f t="shared" si="2"/>
        <v>436.66666666666663</v>
      </c>
      <c r="I10" s="281">
        <v>0</v>
      </c>
      <c r="J10" s="70">
        <f t="shared" si="3"/>
        <v>436.66666666666663</v>
      </c>
      <c r="K10" s="73"/>
      <c r="L10" s="282">
        <v>476</v>
      </c>
      <c r="M10" s="70">
        <f t="shared" ref="M10:M14" si="4">L10/12*10</f>
        <v>396.66666666666663</v>
      </c>
      <c r="N10" s="281">
        <v>523.82000000000005</v>
      </c>
      <c r="O10" s="73">
        <f t="shared" ref="O10:O14" si="5">M10-N10</f>
        <v>-127.15333333333342</v>
      </c>
      <c r="P10" s="39"/>
    </row>
    <row r="11" spans="1:18" ht="15.75" x14ac:dyDescent="0.2">
      <c r="A11" s="11" t="s">
        <v>68</v>
      </c>
      <c r="B11" s="68" t="s">
        <v>165</v>
      </c>
      <c r="C11" s="69">
        <f t="shared" si="0"/>
        <v>8.4800000000000182</v>
      </c>
      <c r="D11" s="95">
        <v>464.48</v>
      </c>
      <c r="E11" s="73"/>
      <c r="F11" s="71">
        <f t="shared" si="1"/>
        <v>-57</v>
      </c>
      <c r="G11" s="282">
        <v>456</v>
      </c>
      <c r="H11" s="70">
        <f t="shared" si="2"/>
        <v>380</v>
      </c>
      <c r="I11" s="281">
        <v>0</v>
      </c>
      <c r="J11" s="70">
        <f t="shared" si="3"/>
        <v>380</v>
      </c>
      <c r="K11" s="73"/>
      <c r="L11" s="282">
        <v>513</v>
      </c>
      <c r="M11" s="70">
        <f t="shared" si="4"/>
        <v>427.5</v>
      </c>
      <c r="N11" s="281">
        <v>456.18</v>
      </c>
      <c r="O11" s="73">
        <f t="shared" si="5"/>
        <v>-28.680000000000007</v>
      </c>
      <c r="P11" s="39"/>
    </row>
    <row r="12" spans="1:18" ht="15.75" x14ac:dyDescent="0.2">
      <c r="A12" s="11" t="s">
        <v>81</v>
      </c>
      <c r="B12" s="68"/>
      <c r="C12" s="69">
        <f t="shared" si="0"/>
        <v>0</v>
      </c>
      <c r="D12" s="74"/>
      <c r="E12" s="73"/>
      <c r="F12" s="71">
        <f t="shared" si="1"/>
        <v>-2599</v>
      </c>
      <c r="G12" s="282">
        <v>0</v>
      </c>
      <c r="H12" s="70">
        <f t="shared" si="2"/>
        <v>0</v>
      </c>
      <c r="I12" s="281">
        <v>0</v>
      </c>
      <c r="J12" s="70">
        <f t="shared" si="3"/>
        <v>0</v>
      </c>
      <c r="K12" s="73"/>
      <c r="L12" s="282">
        <v>2599</v>
      </c>
      <c r="M12" s="70">
        <f t="shared" si="4"/>
        <v>2165.8333333333335</v>
      </c>
      <c r="N12" s="281">
        <v>0</v>
      </c>
      <c r="O12" s="73">
        <f t="shared" si="5"/>
        <v>2165.8333333333335</v>
      </c>
      <c r="P12" s="39"/>
      <c r="Q12" s="278" t="s">
        <v>263</v>
      </c>
    </row>
    <row r="13" spans="1:18" ht="15.75" x14ac:dyDescent="0.2">
      <c r="A13" s="11" t="s">
        <v>104</v>
      </c>
      <c r="B13" s="68"/>
      <c r="C13" s="69">
        <f t="shared" si="0"/>
        <v>0</v>
      </c>
      <c r="D13" s="74"/>
      <c r="E13" s="73"/>
      <c r="F13" s="71">
        <f t="shared" si="1"/>
        <v>-5030</v>
      </c>
      <c r="G13" s="282">
        <v>0</v>
      </c>
      <c r="H13" s="70">
        <f t="shared" si="2"/>
        <v>0</v>
      </c>
      <c r="I13" s="281">
        <v>0</v>
      </c>
      <c r="J13" s="70">
        <f t="shared" si="3"/>
        <v>0</v>
      </c>
      <c r="K13" s="73"/>
      <c r="L13" s="282">
        <v>5030</v>
      </c>
      <c r="M13" s="70">
        <f t="shared" si="4"/>
        <v>4191.666666666667</v>
      </c>
      <c r="N13" s="281">
        <v>3318</v>
      </c>
      <c r="O13" s="73">
        <f t="shared" si="5"/>
        <v>873.66666666666697</v>
      </c>
      <c r="P13" s="39"/>
      <c r="Q13" s="278" t="s">
        <v>264</v>
      </c>
    </row>
    <row r="14" spans="1:18" ht="15.75" x14ac:dyDescent="0.2">
      <c r="A14" s="11" t="s">
        <v>121</v>
      </c>
      <c r="B14" s="68"/>
      <c r="C14" s="69">
        <f t="shared" si="0"/>
        <v>3005.27</v>
      </c>
      <c r="D14" s="74">
        <f>3003.84+57.43</f>
        <v>3061.27</v>
      </c>
      <c r="E14" s="73"/>
      <c r="F14" s="71">
        <f t="shared" si="1"/>
        <v>56</v>
      </c>
      <c r="G14" s="282">
        <v>56</v>
      </c>
      <c r="H14" s="70">
        <f t="shared" si="2"/>
        <v>46.666666666666671</v>
      </c>
      <c r="I14" s="281">
        <v>0</v>
      </c>
      <c r="J14" s="70">
        <f t="shared" si="3"/>
        <v>46.666666666666671</v>
      </c>
      <c r="K14" s="73"/>
      <c r="L14" s="282">
        <v>0</v>
      </c>
      <c r="M14" s="70">
        <f t="shared" si="4"/>
        <v>0</v>
      </c>
      <c r="N14" s="281">
        <v>56.41</v>
      </c>
      <c r="O14" s="73">
        <f t="shared" si="5"/>
        <v>-56.41</v>
      </c>
      <c r="P14" s="39"/>
      <c r="Q14" s="280" t="s">
        <v>212</v>
      </c>
    </row>
    <row r="15" spans="1:18" ht="15.75" x14ac:dyDescent="0.2">
      <c r="A15" s="68"/>
      <c r="B15" s="68"/>
      <c r="C15" s="69"/>
      <c r="D15" s="74"/>
      <c r="E15" s="73"/>
      <c r="F15" s="71"/>
      <c r="G15" s="74"/>
      <c r="H15" s="70"/>
      <c r="I15" s="70"/>
      <c r="J15" s="70"/>
      <c r="K15" s="73"/>
      <c r="L15" s="72"/>
      <c r="M15" s="73"/>
      <c r="N15" s="73"/>
      <c r="O15" s="73"/>
      <c r="P15" s="39"/>
      <c r="Q15" s="38"/>
    </row>
    <row r="16" spans="1:18" ht="16.5" thickBot="1" x14ac:dyDescent="0.25">
      <c r="A16" s="193" t="s">
        <v>1</v>
      </c>
      <c r="B16" s="67"/>
      <c r="C16" s="75">
        <f>SUM(C8:C15)</f>
        <v>5265.6899999999987</v>
      </c>
      <c r="D16" s="76">
        <f>SUM(D8:D15)</f>
        <v>36551.689999999995</v>
      </c>
      <c r="E16" s="77"/>
      <c r="F16" s="75">
        <f>SUM(F8:F15)</f>
        <v>-5916</v>
      </c>
      <c r="G16" s="76">
        <f>SUM(G8:G15)</f>
        <v>31286</v>
      </c>
      <c r="H16" s="78">
        <f>SUM(H8:H15)</f>
        <v>26071.666666666672</v>
      </c>
      <c r="I16" s="78">
        <f>SUM(I8:I15)</f>
        <v>-1375</v>
      </c>
      <c r="J16" s="78">
        <f>SUM(J8:J15)</f>
        <v>27446.666666666672</v>
      </c>
      <c r="K16" s="77"/>
      <c r="L16" s="79">
        <f>SUM(L8:L15)</f>
        <v>37202</v>
      </c>
      <c r="M16" s="78">
        <f>SUM(M8:M15)</f>
        <v>31001.666666666668</v>
      </c>
      <c r="N16" s="78">
        <f>SUM(N8:N15)</f>
        <v>34604.590000000004</v>
      </c>
      <c r="O16" s="78">
        <f>SUM(O8:O15)</f>
        <v>-3602.9233333333332</v>
      </c>
      <c r="P16" s="40"/>
      <c r="Q16" s="169">
        <f>SUM(C16:P16)</f>
        <v>218536.04666666663</v>
      </c>
      <c r="R16" s="170" t="s">
        <v>173</v>
      </c>
    </row>
    <row r="18" spans="1:10" x14ac:dyDescent="0.2">
      <c r="A18" s="278" t="s">
        <v>164</v>
      </c>
      <c r="C18" s="110">
        <f>Summary!$C$26</f>
        <v>2.4E-2</v>
      </c>
    </row>
    <row r="20" spans="1:10" x14ac:dyDescent="0.2">
      <c r="A20" s="232" t="s">
        <v>210</v>
      </c>
      <c r="B20" s="251"/>
      <c r="C20" s="283">
        <v>2018</v>
      </c>
      <c r="D20" s="284"/>
      <c r="E20" s="285"/>
      <c r="F20" s="286">
        <v>2019</v>
      </c>
    </row>
    <row r="21" spans="1:10" x14ac:dyDescent="0.2">
      <c r="A21" s="231" t="s">
        <v>61</v>
      </c>
      <c r="B21" s="287"/>
      <c r="C21" s="288">
        <v>816</v>
      </c>
      <c r="D21" s="289">
        <f>C21/C23</f>
        <v>0.76547842401500943</v>
      </c>
      <c r="E21" s="290"/>
      <c r="F21" s="291">
        <f>F23*D21</f>
        <v>750.26071294559108</v>
      </c>
    </row>
    <row r="22" spans="1:10" x14ac:dyDescent="0.2">
      <c r="A22" s="231" t="s">
        <v>65</v>
      </c>
      <c r="B22" s="287"/>
      <c r="C22" s="288">
        <v>250</v>
      </c>
      <c r="D22" s="289">
        <f>C22/C23</f>
        <v>0.23452157598499063</v>
      </c>
      <c r="E22" s="290"/>
      <c r="F22" s="291">
        <f>F23*D22</f>
        <v>229.85928705440901</v>
      </c>
    </row>
    <row r="23" spans="1:10" x14ac:dyDescent="0.2">
      <c r="A23" s="232" t="s">
        <v>209</v>
      </c>
      <c r="B23" s="251"/>
      <c r="C23" s="283">
        <f>SUM(C21:C22)</f>
        <v>1066</v>
      </c>
      <c r="D23" s="292">
        <f>SUM(D21:D22)</f>
        <v>1</v>
      </c>
      <c r="E23" s="285"/>
      <c r="F23" s="286">
        <v>980.12</v>
      </c>
      <c r="G23" s="293"/>
    </row>
    <row r="25" spans="1:10" x14ac:dyDescent="0.2">
      <c r="F25" s="278"/>
      <c r="J25" s="281"/>
    </row>
    <row r="26" spans="1:10" x14ac:dyDescent="0.2">
      <c r="F26" s="278"/>
      <c r="J26" s="281"/>
    </row>
    <row r="27" spans="1:10" x14ac:dyDescent="0.2">
      <c r="F27" s="278"/>
      <c r="J27" s="281"/>
    </row>
    <row r="28" spans="1:10" x14ac:dyDescent="0.2">
      <c r="E28" s="278"/>
      <c r="J28" s="281"/>
    </row>
    <row r="29" spans="1:10" x14ac:dyDescent="0.2">
      <c r="E29" s="278"/>
      <c r="J29" s="281"/>
    </row>
    <row r="30" spans="1:10" x14ac:dyDescent="0.2">
      <c r="E30" s="278"/>
      <c r="J30" s="281"/>
    </row>
    <row r="31" spans="1:10" x14ac:dyDescent="0.2">
      <c r="E31" s="278"/>
      <c r="J31" s="281"/>
    </row>
    <row r="32" spans="1:10" x14ac:dyDescent="0.2">
      <c r="E32" s="278"/>
      <c r="J32" s="281"/>
    </row>
  </sheetData>
  <sheetProtection algorithmName="SHA-512" hashValue="w9Dhz19RSj0oHd+hkCDE0UxS49GrI8NA5pJMifYDjMUAQvi7CUmYENHswYcWuqByrZVBlHQbJjqGstilwBFKcA==" saltValue="7hGtsqYjtoCzH8W93/qrwA==" spinCount="100000" sheet="1" objects="1" scenarios="1"/>
  <mergeCells count="10">
    <mergeCell ref="C4:D4"/>
    <mergeCell ref="G4:J4"/>
    <mergeCell ref="L4:O4"/>
    <mergeCell ref="C5:C6"/>
    <mergeCell ref="D5:D6"/>
    <mergeCell ref="F5:F6"/>
    <mergeCell ref="G5:H5"/>
    <mergeCell ref="L5:M5"/>
    <mergeCell ref="H6:J6"/>
    <mergeCell ref="M6:O6"/>
  </mergeCells>
  <phoneticPr fontId="20" type="noConversion"/>
  <pageMargins left="0.70866141732283472" right="0.70866141732283472" top="0.74803149606299213" bottom="0.74803149606299213" header="0.31496062992125984" footer="0.31496062992125984"/>
  <pageSetup scale="63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32"/>
  <sheetViews>
    <sheetView showGridLines="0" zoomScale="80" zoomScaleNormal="80" workbookViewId="0"/>
  </sheetViews>
  <sheetFormatPr defaultRowHeight="15" x14ac:dyDescent="0.2"/>
  <cols>
    <col min="1" max="1" width="40.7109375" style="5" customWidth="1"/>
    <col min="2" max="2" width="2.7109375" style="5" customWidth="1"/>
    <col min="3" max="4" width="11.7109375" style="5" customWidth="1"/>
    <col min="5" max="5" width="2.7109375" style="5" customWidth="1"/>
    <col min="6" max="10" width="11.7109375" style="5" customWidth="1"/>
    <col min="11" max="11" width="2.7109375" style="5" customWidth="1"/>
    <col min="12" max="15" width="11.7109375" style="5" customWidth="1"/>
    <col min="16" max="16" width="2.7109375" style="5" customWidth="1"/>
    <col min="17" max="17" width="14.140625" style="5" customWidth="1"/>
    <col min="18" max="21" width="10.7109375" style="5" customWidth="1"/>
    <col min="22" max="16384" width="9.140625" style="5"/>
  </cols>
  <sheetData>
    <row r="1" spans="1:25" ht="21" x14ac:dyDescent="0.2">
      <c r="A1" s="35" t="s">
        <v>124</v>
      </c>
      <c r="B1" s="3"/>
      <c r="C1" s="30" t="s">
        <v>166</v>
      </c>
      <c r="D1" s="4"/>
      <c r="E1" s="4"/>
      <c r="F1" s="4"/>
      <c r="G1" s="30" t="s">
        <v>231</v>
      </c>
      <c r="I1" s="203">
        <v>4</v>
      </c>
      <c r="Q1" s="38"/>
      <c r="R1" s="38"/>
    </row>
    <row r="2" spans="1:25" x14ac:dyDescent="0.2">
      <c r="A2" s="3"/>
      <c r="B2" s="3"/>
      <c r="C2" s="3"/>
      <c r="D2" s="4"/>
      <c r="E2" s="4"/>
      <c r="F2" s="4"/>
      <c r="G2" s="3"/>
    </row>
    <row r="3" spans="1:25" ht="21" x14ac:dyDescent="0.2">
      <c r="A3" s="30" t="s">
        <v>232</v>
      </c>
      <c r="B3" s="4"/>
      <c r="C3" s="4"/>
      <c r="D3" s="4"/>
      <c r="E3" s="4"/>
      <c r="F3" s="4"/>
      <c r="G3" s="3"/>
      <c r="Q3" s="38"/>
      <c r="R3" s="38"/>
    </row>
    <row r="4" spans="1:25" s="13" customFormat="1" x14ac:dyDescent="0.2">
      <c r="C4" s="331">
        <v>2019</v>
      </c>
      <c r="D4" s="331"/>
      <c r="E4" s="14"/>
      <c r="G4" s="331">
        <v>2018</v>
      </c>
      <c r="H4" s="333"/>
      <c r="I4" s="333"/>
      <c r="J4" s="333"/>
      <c r="L4" s="331">
        <v>2017</v>
      </c>
      <c r="M4" s="331"/>
      <c r="N4" s="331"/>
      <c r="O4" s="331"/>
      <c r="P4" s="14"/>
      <c r="Q4" s="6" t="s">
        <v>98</v>
      </c>
      <c r="R4" s="5"/>
      <c r="S4" s="5"/>
      <c r="T4" s="5"/>
      <c r="U4" s="5"/>
      <c r="V4" s="5"/>
      <c r="W4" s="5"/>
      <c r="X4" s="5"/>
      <c r="Y4" s="5"/>
    </row>
    <row r="5" spans="1:25" s="31" customFormat="1" ht="15" customHeight="1" x14ac:dyDescent="0.2">
      <c r="C5" s="315" t="s">
        <v>163</v>
      </c>
      <c r="D5" s="317" t="s">
        <v>44</v>
      </c>
      <c r="F5" s="315" t="s">
        <v>162</v>
      </c>
      <c r="G5" s="321" t="s">
        <v>161</v>
      </c>
      <c r="H5" s="321"/>
      <c r="I5" s="32" t="s">
        <v>117</v>
      </c>
      <c r="J5" s="32" t="s">
        <v>97</v>
      </c>
      <c r="L5" s="321" t="s">
        <v>161</v>
      </c>
      <c r="M5" s="330"/>
      <c r="N5" s="32" t="s">
        <v>117</v>
      </c>
      <c r="O5" s="32" t="s">
        <v>97</v>
      </c>
      <c r="P5" s="32"/>
      <c r="Q5" s="33"/>
      <c r="R5" s="16"/>
      <c r="S5" s="16"/>
      <c r="T5" s="16"/>
      <c r="U5" s="16"/>
      <c r="V5" s="16"/>
      <c r="W5" s="16"/>
      <c r="X5" s="16"/>
      <c r="Y5" s="16"/>
    </row>
    <row r="6" spans="1:25" s="31" customFormat="1" ht="21" customHeight="1" x14ac:dyDescent="0.2">
      <c r="C6" s="332"/>
      <c r="D6" s="318"/>
      <c r="F6" s="319"/>
      <c r="G6" s="34" t="s">
        <v>159</v>
      </c>
      <c r="H6" s="321" t="s">
        <v>160</v>
      </c>
      <c r="I6" s="310"/>
      <c r="J6" s="310"/>
      <c r="L6" s="34" t="s">
        <v>159</v>
      </c>
      <c r="M6" s="321" t="s">
        <v>160</v>
      </c>
      <c r="N6" s="310"/>
      <c r="O6" s="310"/>
      <c r="P6" s="32"/>
      <c r="Q6" s="33"/>
      <c r="R6" s="16"/>
      <c r="S6" s="16"/>
      <c r="T6" s="16"/>
      <c r="U6" s="16"/>
      <c r="V6" s="16"/>
      <c r="W6" s="16"/>
      <c r="X6" s="16"/>
      <c r="Y6" s="16"/>
    </row>
    <row r="7" spans="1:25" x14ac:dyDescent="0.2">
      <c r="A7" s="7" t="s">
        <v>20</v>
      </c>
      <c r="B7" s="7"/>
      <c r="C7" s="89"/>
      <c r="D7" s="90"/>
      <c r="E7" s="91"/>
      <c r="F7" s="89"/>
      <c r="G7" s="90"/>
      <c r="H7" s="91"/>
      <c r="I7" s="91"/>
      <c r="J7" s="91"/>
      <c r="K7" s="91"/>
      <c r="L7" s="90"/>
      <c r="M7" s="91"/>
      <c r="N7" s="91"/>
      <c r="O7" s="91"/>
    </row>
    <row r="8" spans="1:25" x14ac:dyDescent="0.2">
      <c r="A8" s="8" t="s">
        <v>21</v>
      </c>
      <c r="B8" s="8"/>
      <c r="C8" s="94">
        <f>D8-G8</f>
        <v>27</v>
      </c>
      <c r="D8" s="95">
        <v>477</v>
      </c>
      <c r="E8" s="91"/>
      <c r="F8" s="89">
        <f>G8-L8</f>
        <v>72</v>
      </c>
      <c r="G8" s="95">
        <v>450</v>
      </c>
      <c r="H8" s="96">
        <f>G8/12*10</f>
        <v>375</v>
      </c>
      <c r="I8" s="96">
        <v>336</v>
      </c>
      <c r="J8" s="96">
        <f>H8-I8</f>
        <v>39</v>
      </c>
      <c r="K8" s="91"/>
      <c r="L8" s="90">
        <v>378</v>
      </c>
      <c r="M8" s="96">
        <f>L8/12*10</f>
        <v>315</v>
      </c>
      <c r="N8" s="91">
        <v>369.45</v>
      </c>
      <c r="O8" s="91">
        <f>M8-N8</f>
        <v>-54.449999999999989</v>
      </c>
      <c r="P8" s="15"/>
    </row>
    <row r="9" spans="1:25" x14ac:dyDescent="0.2">
      <c r="A9" s="8" t="s">
        <v>14</v>
      </c>
      <c r="B9" s="8" t="s">
        <v>165</v>
      </c>
      <c r="C9" s="94">
        <f>D9-G9</f>
        <v>2.1599999999999966</v>
      </c>
      <c r="D9" s="95">
        <f>G9+(G9*$C$32)</f>
        <v>92.16</v>
      </c>
      <c r="E9" s="91"/>
      <c r="F9" s="89">
        <f t="shared" ref="F9:F10" si="0">G9-L9</f>
        <v>0</v>
      </c>
      <c r="G9" s="95">
        <v>90</v>
      </c>
      <c r="H9" s="96">
        <f>G9/12*10</f>
        <v>75</v>
      </c>
      <c r="I9" s="96">
        <v>75</v>
      </c>
      <c r="J9" s="96">
        <f>H9-I9</f>
        <v>0</v>
      </c>
      <c r="K9" s="91"/>
      <c r="L9" s="90">
        <v>90</v>
      </c>
      <c r="M9" s="96">
        <f>L9/12*10</f>
        <v>75</v>
      </c>
      <c r="N9" s="91">
        <v>75</v>
      </c>
      <c r="O9" s="91">
        <f>M9-N9</f>
        <v>0</v>
      </c>
      <c r="P9" s="15"/>
      <c r="R9" s="27"/>
    </row>
    <row r="10" spans="1:25" x14ac:dyDescent="0.2">
      <c r="A10" s="8" t="s">
        <v>15</v>
      </c>
      <c r="B10" s="8" t="s">
        <v>165</v>
      </c>
      <c r="C10" s="94">
        <f>D10-G10</f>
        <v>4.8000000000000114</v>
      </c>
      <c r="D10" s="95">
        <f>G10+(G10*$C$32)</f>
        <v>204.8</v>
      </c>
      <c r="E10" s="91"/>
      <c r="F10" s="89">
        <f t="shared" si="0"/>
        <v>50</v>
      </c>
      <c r="G10" s="95">
        <v>200</v>
      </c>
      <c r="H10" s="96">
        <f>G10/12*10</f>
        <v>166.66666666666669</v>
      </c>
      <c r="I10" s="96">
        <v>2256.42</v>
      </c>
      <c r="J10" s="96">
        <f>H10-I10</f>
        <v>-2089.7533333333336</v>
      </c>
      <c r="K10" s="91"/>
      <c r="L10" s="90">
        <v>150</v>
      </c>
      <c r="M10" s="96">
        <f>L10/12*10</f>
        <v>125</v>
      </c>
      <c r="N10" s="91">
        <v>174.42</v>
      </c>
      <c r="O10" s="91">
        <f>M10-N10</f>
        <v>-49.419999999999987</v>
      </c>
      <c r="P10" s="15"/>
      <c r="Q10" s="9"/>
    </row>
    <row r="11" spans="1:25" x14ac:dyDescent="0.2">
      <c r="A11" s="8" t="s">
        <v>153</v>
      </c>
      <c r="B11" s="8"/>
      <c r="C11" s="94">
        <f>D11-G11</f>
        <v>252</v>
      </c>
      <c r="D11" s="95">
        <f>210*1.2</f>
        <v>252</v>
      </c>
      <c r="E11" s="91"/>
      <c r="F11" s="89"/>
      <c r="G11" s="95"/>
      <c r="H11" s="96"/>
      <c r="I11" s="96"/>
      <c r="J11" s="96">
        <f>H11-I11</f>
        <v>0</v>
      </c>
      <c r="K11" s="91"/>
      <c r="L11" s="90"/>
      <c r="M11" s="91"/>
      <c r="N11" s="91"/>
      <c r="O11" s="91"/>
      <c r="P11" s="15"/>
      <c r="R11" s="27"/>
    </row>
    <row r="12" spans="1:25" x14ac:dyDescent="0.2">
      <c r="A12" s="8"/>
      <c r="B12" s="8"/>
      <c r="C12" s="94"/>
      <c r="D12" s="95"/>
      <c r="E12" s="91"/>
      <c r="F12" s="89"/>
      <c r="G12" s="95"/>
      <c r="H12" s="96"/>
      <c r="I12" s="96"/>
      <c r="J12" s="96"/>
      <c r="K12" s="91"/>
      <c r="L12" s="90"/>
      <c r="M12" s="91"/>
      <c r="N12" s="91"/>
      <c r="O12" s="91"/>
      <c r="P12" s="15"/>
      <c r="R12" s="28"/>
    </row>
    <row r="13" spans="1:25" s="16" customFormat="1" ht="15.75" thickBot="1" x14ac:dyDescent="0.3">
      <c r="A13" s="148" t="s">
        <v>169</v>
      </c>
      <c r="B13" s="7"/>
      <c r="C13" s="98">
        <f>SUM(C7:C12)</f>
        <v>285.96000000000004</v>
      </c>
      <c r="D13" s="99">
        <f>SUM(D7:D12)</f>
        <v>1025.96</v>
      </c>
      <c r="E13" s="100"/>
      <c r="F13" s="98">
        <f t="shared" ref="F13:J13" si="1">SUM(F7:F12)</f>
        <v>122</v>
      </c>
      <c r="G13" s="99">
        <f t="shared" si="1"/>
        <v>740</v>
      </c>
      <c r="H13" s="101">
        <f t="shared" si="1"/>
        <v>616.66666666666674</v>
      </c>
      <c r="I13" s="101">
        <f t="shared" si="1"/>
        <v>2667.42</v>
      </c>
      <c r="J13" s="101">
        <f t="shared" si="1"/>
        <v>-2050.7533333333336</v>
      </c>
      <c r="K13" s="100"/>
      <c r="L13" s="111">
        <f t="shared" ref="L13:O13" si="2">SUM(L7:L12)</f>
        <v>618</v>
      </c>
      <c r="M13" s="101">
        <f t="shared" si="2"/>
        <v>515</v>
      </c>
      <c r="N13" s="101">
        <f t="shared" si="2"/>
        <v>618.87</v>
      </c>
      <c r="O13" s="101">
        <f t="shared" si="2"/>
        <v>-103.86999999999998</v>
      </c>
      <c r="P13" s="17"/>
      <c r="Q13" s="5"/>
    </row>
    <row r="14" spans="1:25" s="16" customFormat="1" x14ac:dyDescent="0.2">
      <c r="A14" s="7"/>
      <c r="B14" s="7"/>
      <c r="C14" s="112"/>
      <c r="D14" s="113"/>
      <c r="E14" s="100"/>
      <c r="F14" s="114"/>
      <c r="G14" s="113"/>
      <c r="H14" s="115"/>
      <c r="I14" s="115"/>
      <c r="J14" s="115"/>
      <c r="K14" s="100"/>
      <c r="L14" s="90"/>
      <c r="M14" s="91"/>
      <c r="N14" s="100"/>
      <c r="O14" s="100"/>
      <c r="P14" s="17"/>
      <c r="Q14" s="5"/>
    </row>
    <row r="15" spans="1:25" x14ac:dyDescent="0.2">
      <c r="A15" s="10" t="s">
        <v>23</v>
      </c>
      <c r="B15" s="10"/>
      <c r="C15" s="94"/>
      <c r="D15" s="95"/>
      <c r="E15" s="91"/>
      <c r="F15" s="89"/>
      <c r="G15" s="95"/>
      <c r="H15" s="96"/>
      <c r="I15" s="96"/>
      <c r="J15" s="96"/>
      <c r="K15" s="91"/>
      <c r="L15" s="90"/>
      <c r="M15" s="91"/>
      <c r="N15" s="91"/>
      <c r="O15" s="91"/>
      <c r="P15" s="15"/>
    </row>
    <row r="16" spans="1:25" x14ac:dyDescent="0.2">
      <c r="A16" s="8" t="s">
        <v>22</v>
      </c>
      <c r="B16" s="8" t="s">
        <v>165</v>
      </c>
      <c r="C16" s="94">
        <f t="shared" ref="C16:C22" si="3">D16-G16</f>
        <v>4.8000000000000114</v>
      </c>
      <c r="D16" s="95">
        <f t="shared" ref="D16:D19" si="4">G16+(G16*$C$32)</f>
        <v>204.8</v>
      </c>
      <c r="E16" s="91"/>
      <c r="F16" s="89">
        <f t="shared" ref="F16:F22" si="5">G16-L16</f>
        <v>0</v>
      </c>
      <c r="G16" s="95">
        <v>200</v>
      </c>
      <c r="H16" s="96">
        <f t="shared" ref="H16:H22" si="6">G16/12*10</f>
        <v>166.66666666666669</v>
      </c>
      <c r="I16" s="96">
        <v>458.84</v>
      </c>
      <c r="J16" s="96">
        <f t="shared" ref="J16:J22" si="7">H16-I16</f>
        <v>-292.17333333333329</v>
      </c>
      <c r="K16" s="91"/>
      <c r="L16" s="90">
        <v>200</v>
      </c>
      <c r="M16" s="96">
        <f t="shared" ref="M16:M22" si="8">L16/12*10</f>
        <v>166.66666666666669</v>
      </c>
      <c r="N16" s="91">
        <v>195</v>
      </c>
      <c r="O16" s="91">
        <f t="shared" ref="O16:O22" si="9">M16-N16</f>
        <v>-28.333333333333314</v>
      </c>
      <c r="P16" s="15"/>
    </row>
    <row r="17" spans="1:18" x14ac:dyDescent="0.2">
      <c r="A17" s="8" t="s">
        <v>16</v>
      </c>
      <c r="B17" s="8" t="s">
        <v>165</v>
      </c>
      <c r="C17" s="94">
        <f t="shared" si="3"/>
        <v>1.2000000000000028</v>
      </c>
      <c r="D17" s="95">
        <f t="shared" si="4"/>
        <v>51.2</v>
      </c>
      <c r="E17" s="91"/>
      <c r="F17" s="89">
        <f t="shared" si="5"/>
        <v>0</v>
      </c>
      <c r="G17" s="95">
        <v>50</v>
      </c>
      <c r="H17" s="96">
        <f t="shared" si="6"/>
        <v>41.666666666666671</v>
      </c>
      <c r="I17" s="96"/>
      <c r="J17" s="96">
        <f t="shared" si="7"/>
        <v>41.666666666666671</v>
      </c>
      <c r="K17" s="91"/>
      <c r="L17" s="90">
        <v>50</v>
      </c>
      <c r="M17" s="96">
        <f t="shared" si="8"/>
        <v>41.666666666666671</v>
      </c>
      <c r="N17" s="91">
        <v>37.94</v>
      </c>
      <c r="O17" s="91">
        <f t="shared" si="9"/>
        <v>3.7266666666666737</v>
      </c>
      <c r="P17" s="15"/>
    </row>
    <row r="18" spans="1:18" x14ac:dyDescent="0.2">
      <c r="A18" s="8" t="s">
        <v>12</v>
      </c>
      <c r="B18" s="8" t="s">
        <v>165</v>
      </c>
      <c r="C18" s="94">
        <f t="shared" si="3"/>
        <v>1.2000000000000028</v>
      </c>
      <c r="D18" s="95">
        <f t="shared" si="4"/>
        <v>51.2</v>
      </c>
      <c r="E18" s="91"/>
      <c r="F18" s="89">
        <f t="shared" si="5"/>
        <v>-3</v>
      </c>
      <c r="G18" s="95">
        <v>50</v>
      </c>
      <c r="H18" s="96">
        <f t="shared" si="6"/>
        <v>41.666666666666671</v>
      </c>
      <c r="I18" s="96">
        <v>45</v>
      </c>
      <c r="J18" s="96">
        <f t="shared" si="7"/>
        <v>-3.3333333333333286</v>
      </c>
      <c r="K18" s="91"/>
      <c r="L18" s="90">
        <v>53</v>
      </c>
      <c r="M18" s="96">
        <f t="shared" si="8"/>
        <v>44.166666666666671</v>
      </c>
      <c r="N18" s="91">
        <v>45</v>
      </c>
      <c r="O18" s="91">
        <f t="shared" si="9"/>
        <v>-0.8333333333333286</v>
      </c>
      <c r="P18" s="15"/>
    </row>
    <row r="19" spans="1:18" x14ac:dyDescent="0.2">
      <c r="A19" s="8" t="s">
        <v>50</v>
      </c>
      <c r="B19" s="8" t="s">
        <v>165</v>
      </c>
      <c r="C19" s="94">
        <f t="shared" si="3"/>
        <v>1.2000000000000028</v>
      </c>
      <c r="D19" s="95">
        <f t="shared" si="4"/>
        <v>51.2</v>
      </c>
      <c r="E19" s="91"/>
      <c r="F19" s="89">
        <f t="shared" si="5"/>
        <v>0</v>
      </c>
      <c r="G19" s="95">
        <v>50</v>
      </c>
      <c r="H19" s="96">
        <f t="shared" si="6"/>
        <v>41.666666666666671</v>
      </c>
      <c r="I19" s="96">
        <v>30</v>
      </c>
      <c r="J19" s="96">
        <f t="shared" si="7"/>
        <v>11.666666666666671</v>
      </c>
      <c r="K19" s="91"/>
      <c r="L19" s="90">
        <v>50</v>
      </c>
      <c r="M19" s="96">
        <f t="shared" si="8"/>
        <v>41.666666666666671</v>
      </c>
      <c r="N19" s="91">
        <v>20</v>
      </c>
      <c r="O19" s="91">
        <f t="shared" si="9"/>
        <v>21.666666666666671</v>
      </c>
      <c r="P19" s="15"/>
    </row>
    <row r="20" spans="1:18" x14ac:dyDescent="0.2">
      <c r="A20" s="8" t="s">
        <v>126</v>
      </c>
      <c r="B20" s="8"/>
      <c r="C20" s="94">
        <f t="shared" si="3"/>
        <v>-293.60000000000002</v>
      </c>
      <c r="D20" s="95">
        <v>0</v>
      </c>
      <c r="E20" s="91"/>
      <c r="F20" s="89">
        <f t="shared" si="5"/>
        <v>293.60000000000002</v>
      </c>
      <c r="G20" s="95">
        <v>293.60000000000002</v>
      </c>
      <c r="H20" s="96">
        <f t="shared" si="6"/>
        <v>244.66666666666669</v>
      </c>
      <c r="I20" s="96">
        <v>370.19</v>
      </c>
      <c r="J20" s="96">
        <f t="shared" si="7"/>
        <v>-125.52333333333331</v>
      </c>
      <c r="K20" s="91"/>
      <c r="L20" s="90">
        <v>0</v>
      </c>
      <c r="M20" s="96">
        <f t="shared" si="8"/>
        <v>0</v>
      </c>
      <c r="N20" s="91">
        <v>0</v>
      </c>
      <c r="O20" s="91">
        <f t="shared" si="9"/>
        <v>0</v>
      </c>
      <c r="P20" s="15"/>
      <c r="Q20" s="5" t="s">
        <v>265</v>
      </c>
    </row>
    <row r="21" spans="1:18" x14ac:dyDescent="0.2">
      <c r="A21" s="8" t="s">
        <v>152</v>
      </c>
      <c r="B21" s="8"/>
      <c r="C21" s="94">
        <f t="shared" si="3"/>
        <v>118.03174603174604</v>
      </c>
      <c r="D21" s="95">
        <f>Reserves!W7</f>
        <v>118.03174603174604</v>
      </c>
      <c r="E21" s="91"/>
      <c r="F21" s="89">
        <f t="shared" si="5"/>
        <v>0</v>
      </c>
      <c r="G21" s="95">
        <v>0</v>
      </c>
      <c r="H21" s="96">
        <f t="shared" si="6"/>
        <v>0</v>
      </c>
      <c r="I21" s="96">
        <v>0</v>
      </c>
      <c r="J21" s="96">
        <f t="shared" si="7"/>
        <v>0</v>
      </c>
      <c r="K21" s="91"/>
      <c r="L21" s="90">
        <v>0</v>
      </c>
      <c r="M21" s="91">
        <f t="shared" si="8"/>
        <v>0</v>
      </c>
      <c r="N21" s="91">
        <v>0</v>
      </c>
      <c r="O21" s="91">
        <f t="shared" si="9"/>
        <v>0</v>
      </c>
      <c r="P21" s="15"/>
      <c r="Q21" s="27"/>
    </row>
    <row r="22" spans="1:18" x14ac:dyDescent="0.25">
      <c r="A22" s="188" t="s">
        <v>123</v>
      </c>
      <c r="B22" s="8"/>
      <c r="C22" s="94">
        <f t="shared" si="3"/>
        <v>0</v>
      </c>
      <c r="D22" s="95">
        <v>0</v>
      </c>
      <c r="E22" s="91"/>
      <c r="F22" s="89">
        <f t="shared" si="5"/>
        <v>0</v>
      </c>
      <c r="G22" s="95">
        <v>0</v>
      </c>
      <c r="H22" s="96">
        <f t="shared" si="6"/>
        <v>0</v>
      </c>
      <c r="I22" s="96">
        <v>0</v>
      </c>
      <c r="J22" s="96">
        <f t="shared" si="7"/>
        <v>0</v>
      </c>
      <c r="K22" s="91"/>
      <c r="L22" s="90">
        <v>0</v>
      </c>
      <c r="M22" s="91">
        <f t="shared" si="8"/>
        <v>0</v>
      </c>
      <c r="N22" s="91">
        <v>0</v>
      </c>
      <c r="O22" s="91">
        <f t="shared" si="9"/>
        <v>0</v>
      </c>
      <c r="P22" s="15"/>
      <c r="Q22" s="58"/>
    </row>
    <row r="23" spans="1:18" x14ac:dyDescent="0.2">
      <c r="A23" s="8"/>
      <c r="B23" s="8"/>
      <c r="C23" s="94"/>
      <c r="D23" s="95"/>
      <c r="E23" s="91"/>
      <c r="F23" s="89"/>
      <c r="G23" s="95"/>
      <c r="H23" s="96"/>
      <c r="I23" s="96"/>
      <c r="J23" s="96"/>
      <c r="K23" s="91"/>
      <c r="L23" s="90"/>
      <c r="M23" s="91"/>
      <c r="N23" s="91"/>
      <c r="O23" s="91"/>
      <c r="P23" s="15"/>
    </row>
    <row r="24" spans="1:18" s="16" customFormat="1" ht="15.75" thickBot="1" x14ac:dyDescent="0.3">
      <c r="A24" s="148" t="s">
        <v>170</v>
      </c>
      <c r="B24" s="10"/>
      <c r="C24" s="98">
        <f>SUM(C15:C23)</f>
        <v>-167.16825396825396</v>
      </c>
      <c r="D24" s="99">
        <f>SUM(D15:D23)</f>
        <v>476.431746031746</v>
      </c>
      <c r="E24" s="100"/>
      <c r="F24" s="98">
        <f>SUM(F15:F23)</f>
        <v>290.60000000000002</v>
      </c>
      <c r="G24" s="99">
        <f>SUM(G15:G23)</f>
        <v>643.6</v>
      </c>
      <c r="H24" s="101">
        <f>SUM(H15:H23)</f>
        <v>536.33333333333348</v>
      </c>
      <c r="I24" s="101">
        <f>SUM(I15:I23)</f>
        <v>904.03</v>
      </c>
      <c r="J24" s="101">
        <f>SUM(J15:J23)</f>
        <v>-367.69666666666654</v>
      </c>
      <c r="K24" s="100"/>
      <c r="L24" s="99">
        <f>SUM(L15:L23)</f>
        <v>353</v>
      </c>
      <c r="M24" s="101">
        <f>SUM(M15:M23)</f>
        <v>294.16666666666674</v>
      </c>
      <c r="N24" s="101">
        <f>SUM(N15:N23)</f>
        <v>297.94</v>
      </c>
      <c r="O24" s="101">
        <f>SUM(O15:O23)</f>
        <v>-3.7733333333332979</v>
      </c>
      <c r="P24" s="17"/>
    </row>
    <row r="25" spans="1:18" s="16" customFormat="1" x14ac:dyDescent="0.2">
      <c r="A25" s="10"/>
      <c r="B25" s="10"/>
      <c r="C25" s="112"/>
      <c r="D25" s="113"/>
      <c r="E25" s="100"/>
      <c r="F25" s="112"/>
      <c r="G25" s="113"/>
      <c r="H25" s="115"/>
      <c r="I25" s="115"/>
      <c r="J25" s="115"/>
      <c r="K25" s="100"/>
      <c r="L25" s="116"/>
      <c r="M25" s="91"/>
      <c r="N25" s="100"/>
      <c r="O25" s="100"/>
      <c r="P25" s="17"/>
    </row>
    <row r="26" spans="1:18" s="16" customFormat="1" ht="15.75" thickBot="1" x14ac:dyDescent="0.3">
      <c r="A26" s="148" t="s">
        <v>168</v>
      </c>
      <c r="B26" s="10"/>
      <c r="C26" s="98">
        <f>SUM(C13+C24)</f>
        <v>118.79174603174607</v>
      </c>
      <c r="D26" s="99">
        <f>SUM(D13+D24)</f>
        <v>1502.3917460317462</v>
      </c>
      <c r="E26" s="100"/>
      <c r="F26" s="98">
        <f>SUM(F13+F24)</f>
        <v>412.6</v>
      </c>
      <c r="G26" s="99">
        <f>SUM(G13+G24)</f>
        <v>1383.6</v>
      </c>
      <c r="H26" s="101">
        <f>SUM(H13+H24)</f>
        <v>1153.0000000000002</v>
      </c>
      <c r="I26" s="101">
        <f>SUM(I13+I24)</f>
        <v>3571.45</v>
      </c>
      <c r="J26" s="101">
        <f>SUM(J13+J24)</f>
        <v>-2418.4500000000003</v>
      </c>
      <c r="K26" s="100"/>
      <c r="L26" s="99">
        <f>SUM(L13+L24)</f>
        <v>971</v>
      </c>
      <c r="M26" s="101">
        <f>SUM(M13+M24)</f>
        <v>809.16666666666674</v>
      </c>
      <c r="N26" s="101">
        <f>SUM(N13+N24)</f>
        <v>916.81</v>
      </c>
      <c r="O26" s="101">
        <f>SUM(O13+O24)</f>
        <v>-107.64333333333327</v>
      </c>
      <c r="P26" s="17"/>
    </row>
    <row r="27" spans="1:18" s="16" customFormat="1" x14ac:dyDescent="0.2">
      <c r="A27" s="10"/>
      <c r="B27" s="10"/>
      <c r="C27" s="117"/>
      <c r="D27" s="113"/>
      <c r="E27" s="100"/>
      <c r="F27" s="112"/>
      <c r="G27" s="113"/>
      <c r="H27" s="118"/>
      <c r="I27" s="118"/>
      <c r="J27" s="118"/>
      <c r="K27" s="100"/>
      <c r="L27" s="116"/>
      <c r="M27" s="100"/>
      <c r="N27" s="100"/>
      <c r="O27" s="100"/>
      <c r="P27" s="17"/>
      <c r="Q27" s="5"/>
    </row>
    <row r="28" spans="1:18" x14ac:dyDescent="0.2">
      <c r="A28" s="11" t="s">
        <v>100</v>
      </c>
      <c r="B28" s="11"/>
      <c r="C28" s="94">
        <f>D28-G28</f>
        <v>-420</v>
      </c>
      <c r="D28" s="95">
        <f>Reserves!F7</f>
        <v>180</v>
      </c>
      <c r="E28" s="91"/>
      <c r="F28" s="89">
        <f t="shared" ref="F28" si="10">G28-L28</f>
        <v>0</v>
      </c>
      <c r="G28" s="95">
        <v>600</v>
      </c>
      <c r="H28" s="96">
        <f>G28/12*10</f>
        <v>500</v>
      </c>
      <c r="I28" s="96">
        <v>0</v>
      </c>
      <c r="J28" s="96">
        <f>H28-I28</f>
        <v>500</v>
      </c>
      <c r="K28" s="91"/>
      <c r="L28" s="90">
        <v>600</v>
      </c>
      <c r="M28" s="96">
        <f>L28/12*10</f>
        <v>500</v>
      </c>
      <c r="N28" s="91">
        <v>900</v>
      </c>
      <c r="O28" s="91">
        <f>M28-N28</f>
        <v>-400</v>
      </c>
      <c r="P28" s="18"/>
      <c r="Q28" s="12"/>
    </row>
    <row r="29" spans="1:18" x14ac:dyDescent="0.2">
      <c r="A29" s="11"/>
      <c r="B29" s="11"/>
      <c r="C29" s="94"/>
      <c r="D29" s="95"/>
      <c r="E29" s="91"/>
      <c r="F29" s="94"/>
      <c r="G29" s="95"/>
      <c r="H29" s="96"/>
      <c r="I29" s="96"/>
      <c r="J29" s="96"/>
      <c r="K29" s="91"/>
      <c r="L29" s="90"/>
      <c r="M29" s="91"/>
      <c r="N29" s="91"/>
      <c r="O29" s="91"/>
      <c r="P29" s="18"/>
    </row>
    <row r="30" spans="1:18" ht="15.75" thickBot="1" x14ac:dyDescent="0.3">
      <c r="A30" s="148" t="s">
        <v>1</v>
      </c>
      <c r="B30" s="10"/>
      <c r="C30" s="98">
        <f>SUM(C26:C28)</f>
        <v>-301.20825396825393</v>
      </c>
      <c r="D30" s="99">
        <f>SUM(D26:D28)</f>
        <v>1682.3917460317462</v>
      </c>
      <c r="E30" s="91"/>
      <c r="F30" s="98">
        <f>SUM(F26:F28)</f>
        <v>412.6</v>
      </c>
      <c r="G30" s="99">
        <f>SUM(G26:G28)</f>
        <v>1983.6</v>
      </c>
      <c r="H30" s="119">
        <f>SUM(H26:H28)</f>
        <v>1653.0000000000002</v>
      </c>
      <c r="I30" s="119">
        <f>SUM(I26:I28)</f>
        <v>3571.45</v>
      </c>
      <c r="J30" s="119">
        <f>SUM(J26:J28)</f>
        <v>-1918.4500000000003</v>
      </c>
      <c r="K30" s="91"/>
      <c r="L30" s="99">
        <f>SUM(L26:L28)</f>
        <v>1571</v>
      </c>
      <c r="M30" s="119">
        <f>SUM(M26:M28)</f>
        <v>1309.1666666666667</v>
      </c>
      <c r="N30" s="119">
        <f>SUM(N26:N28)</f>
        <v>1816.81</v>
      </c>
      <c r="O30" s="119">
        <f>SUM(O26:O28)</f>
        <v>-507.64333333333326</v>
      </c>
      <c r="P30" s="19"/>
      <c r="Q30" s="169">
        <f>SUM(C30:P30)</f>
        <v>11272.716825396823</v>
      </c>
      <c r="R30" s="170" t="s">
        <v>173</v>
      </c>
    </row>
    <row r="31" spans="1:18" x14ac:dyDescent="0.2">
      <c r="C31" s="15"/>
      <c r="D31" s="15"/>
      <c r="E31" s="15"/>
      <c r="F31" s="15"/>
      <c r="H31" s="15"/>
      <c r="J31" s="15"/>
      <c r="K31" s="15"/>
      <c r="L31" s="15"/>
      <c r="M31" s="15"/>
      <c r="N31" s="15"/>
      <c r="O31" s="15"/>
      <c r="P31" s="15"/>
    </row>
    <row r="32" spans="1:18" x14ac:dyDescent="0.2">
      <c r="A32" s="5" t="s">
        <v>164</v>
      </c>
      <c r="C32" s="110">
        <f>Summary!$C$26</f>
        <v>2.4E-2</v>
      </c>
    </row>
  </sheetData>
  <sheetProtection algorithmName="SHA-512" hashValue="R77n8X9/z/wOOJQuV4ss50kPG4kzpvDA96kIe7lj4V94bRJ7locq2/AmRvPg72MqAX/pX/3u/wW3EdltwTCPvg==" saltValue="zxdwmUuizgTg11Iz0OWirw==" spinCount="100000" sheet="1" objects="1" scenarios="1"/>
  <mergeCells count="10">
    <mergeCell ref="C4:D4"/>
    <mergeCell ref="L4:O4"/>
    <mergeCell ref="C5:C6"/>
    <mergeCell ref="D5:D6"/>
    <mergeCell ref="H6:J6"/>
    <mergeCell ref="G4:J4"/>
    <mergeCell ref="G5:H5"/>
    <mergeCell ref="L5:M5"/>
    <mergeCell ref="M6:O6"/>
    <mergeCell ref="F5:F6"/>
  </mergeCells>
  <phoneticPr fontId="19" type="noConversion"/>
  <pageMargins left="0.74803149606299213" right="0.74803149606299213" top="0.98425196850393704" bottom="0.98425196850393704" header="0.51181102362204722" footer="0.51181102362204722"/>
  <pageSetup paperSize="9" scale="74" orientation="landscape" horizontalDpi="4294967293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7"/>
  <sheetViews>
    <sheetView showGridLines="0" zoomScale="80" zoomScaleNormal="80" workbookViewId="0"/>
  </sheetViews>
  <sheetFormatPr defaultRowHeight="15" x14ac:dyDescent="0.25"/>
  <cols>
    <col min="1" max="1" width="40.7109375" style="41" customWidth="1"/>
    <col min="2" max="2" width="2.7109375" style="41" customWidth="1"/>
    <col min="3" max="4" width="11.7109375" style="41" customWidth="1"/>
    <col min="5" max="5" width="2.7109375" style="41" customWidth="1"/>
    <col min="6" max="10" width="11.7109375" style="41" customWidth="1"/>
    <col min="11" max="11" width="2.7109375" style="41" customWidth="1"/>
    <col min="12" max="15" width="11.7109375" style="41" customWidth="1"/>
    <col min="16" max="16" width="2.7109375" style="41" customWidth="1"/>
    <col min="17" max="16384" width="9.140625" style="41"/>
  </cols>
  <sheetData>
    <row r="1" spans="1:18" s="57" customFormat="1" ht="21" x14ac:dyDescent="0.35">
      <c r="A1" s="35" t="s">
        <v>124</v>
      </c>
      <c r="C1" s="30" t="s">
        <v>166</v>
      </c>
      <c r="G1" s="262" t="s">
        <v>231</v>
      </c>
      <c r="I1" s="203">
        <v>9</v>
      </c>
    </row>
    <row r="2" spans="1:18" x14ac:dyDescent="0.25">
      <c r="A2" s="3"/>
    </row>
    <row r="3" spans="1:18" s="56" customFormat="1" ht="21" x14ac:dyDescent="0.35">
      <c r="A3" s="55" t="s">
        <v>233</v>
      </c>
    </row>
    <row r="4" spans="1:18" s="56" customFormat="1" ht="21" x14ac:dyDescent="0.35">
      <c r="A4" s="21"/>
      <c r="B4" s="21"/>
      <c r="C4" s="313">
        <v>2019</v>
      </c>
      <c r="D4" s="313"/>
      <c r="E4" s="22"/>
      <c r="F4" s="21"/>
      <c r="G4" s="313">
        <v>2018</v>
      </c>
      <c r="H4" s="314"/>
      <c r="I4" s="314"/>
      <c r="J4" s="314"/>
      <c r="K4" s="21"/>
      <c r="L4" s="313">
        <v>2017</v>
      </c>
      <c r="M4" s="313"/>
      <c r="N4" s="313"/>
      <c r="O4" s="313"/>
      <c r="P4" s="22"/>
      <c r="Q4" s="23" t="s">
        <v>98</v>
      </c>
    </row>
    <row r="5" spans="1:18" x14ac:dyDescent="0.25">
      <c r="A5" s="31"/>
      <c r="B5" s="31"/>
      <c r="C5" s="315" t="s">
        <v>163</v>
      </c>
      <c r="D5" s="317" t="s">
        <v>44</v>
      </c>
      <c r="E5" s="31"/>
      <c r="F5" s="315" t="s">
        <v>162</v>
      </c>
      <c r="G5" s="321" t="s">
        <v>161</v>
      </c>
      <c r="H5" s="321"/>
      <c r="I5" s="32" t="s">
        <v>117</v>
      </c>
      <c r="J5" s="32" t="s">
        <v>97</v>
      </c>
      <c r="K5" s="31"/>
      <c r="L5" s="321" t="s">
        <v>161</v>
      </c>
      <c r="M5" s="330"/>
      <c r="N5" s="32" t="s">
        <v>117</v>
      </c>
      <c r="O5" s="32" t="s">
        <v>97</v>
      </c>
      <c r="P5" s="32"/>
      <c r="Q5" s="33"/>
    </row>
    <row r="6" spans="1:18" x14ac:dyDescent="0.25">
      <c r="A6" s="31"/>
      <c r="B6" s="31"/>
      <c r="C6" s="332"/>
      <c r="D6" s="318"/>
      <c r="E6" s="31"/>
      <c r="F6" s="319"/>
      <c r="G6" s="34" t="s">
        <v>159</v>
      </c>
      <c r="H6" s="321" t="s">
        <v>160</v>
      </c>
      <c r="I6" s="310"/>
      <c r="J6" s="310"/>
      <c r="K6" s="31"/>
      <c r="L6" s="34" t="s">
        <v>159</v>
      </c>
      <c r="M6" s="321" t="s">
        <v>160</v>
      </c>
      <c r="N6" s="310"/>
      <c r="O6" s="310"/>
      <c r="P6" s="32"/>
      <c r="Q6" s="33"/>
    </row>
    <row r="7" spans="1:18" x14ac:dyDescent="0.25">
      <c r="C7" s="120"/>
      <c r="D7" s="121"/>
      <c r="E7" s="122"/>
      <c r="F7" s="120"/>
      <c r="G7" s="121"/>
      <c r="H7" s="122"/>
      <c r="I7" s="122"/>
      <c r="J7" s="122"/>
      <c r="K7" s="122"/>
      <c r="L7" s="121"/>
      <c r="M7" s="122"/>
      <c r="N7" s="122"/>
      <c r="O7" s="122"/>
    </row>
    <row r="8" spans="1:18" x14ac:dyDescent="0.25">
      <c r="A8" s="44" t="s">
        <v>90</v>
      </c>
      <c r="C8" s="94">
        <f>D8-G8</f>
        <v>0</v>
      </c>
      <c r="D8" s="121">
        <v>500</v>
      </c>
      <c r="E8" s="122"/>
      <c r="F8" s="94">
        <f t="shared" ref="F8:F9" si="0">G8-L8</f>
        <v>0</v>
      </c>
      <c r="G8" s="121">
        <v>500</v>
      </c>
      <c r="H8" s="96">
        <f>G8/12*10</f>
        <v>416.66666666666663</v>
      </c>
      <c r="I8" s="122">
        <v>0</v>
      </c>
      <c r="J8" s="96">
        <f>H8-I8</f>
        <v>416.66666666666663</v>
      </c>
      <c r="K8" s="122"/>
      <c r="L8" s="121">
        <v>500</v>
      </c>
      <c r="M8" s="122">
        <f>SUM(L8/12*10)</f>
        <v>416.66666666666663</v>
      </c>
      <c r="N8" s="122">
        <v>0</v>
      </c>
      <c r="O8" s="96">
        <f>M8-N8</f>
        <v>416.66666666666663</v>
      </c>
    </row>
    <row r="9" spans="1:18" x14ac:dyDescent="0.25">
      <c r="A9" s="44" t="s">
        <v>123</v>
      </c>
      <c r="C9" s="94">
        <f>D9-G9</f>
        <v>0</v>
      </c>
      <c r="D9" s="121">
        <v>0</v>
      </c>
      <c r="E9" s="122"/>
      <c r="F9" s="94">
        <f t="shared" si="0"/>
        <v>0</v>
      </c>
      <c r="G9" s="121">
        <v>0</v>
      </c>
      <c r="H9" s="96">
        <f>G9/12*10</f>
        <v>0</v>
      </c>
      <c r="I9" s="122">
        <v>0</v>
      </c>
      <c r="J9" s="96">
        <f>H9-I9</f>
        <v>0</v>
      </c>
      <c r="K9" s="122"/>
      <c r="L9" s="121">
        <v>0</v>
      </c>
      <c r="M9" s="122">
        <f>SUM(L9/12*10)</f>
        <v>0</v>
      </c>
      <c r="N9" s="122">
        <v>0</v>
      </c>
      <c r="O9" s="96">
        <f>M9-N9</f>
        <v>0</v>
      </c>
      <c r="Q9" s="58"/>
    </row>
    <row r="10" spans="1:18" x14ac:dyDescent="0.25">
      <c r="C10" s="120"/>
      <c r="D10" s="121"/>
      <c r="E10" s="122"/>
      <c r="F10" s="120"/>
      <c r="G10" s="121"/>
      <c r="H10" s="122"/>
      <c r="I10" s="122"/>
      <c r="J10" s="122"/>
      <c r="K10" s="122"/>
      <c r="L10" s="121"/>
      <c r="M10" s="122"/>
      <c r="N10" s="122"/>
      <c r="O10" s="122"/>
    </row>
    <row r="11" spans="1:18" s="142" customFormat="1" ht="15.75" thickBot="1" x14ac:dyDescent="0.3">
      <c r="A11" s="148" t="s">
        <v>168</v>
      </c>
      <c r="C11" s="144">
        <f t="shared" ref="C11:D11" si="1">SUM(C7:C10)</f>
        <v>0</v>
      </c>
      <c r="D11" s="145">
        <f t="shared" si="1"/>
        <v>500</v>
      </c>
      <c r="E11" s="146"/>
      <c r="F11" s="144">
        <f t="shared" ref="F11:J11" si="2">SUM(F7:F10)</f>
        <v>0</v>
      </c>
      <c r="G11" s="145">
        <f t="shared" si="2"/>
        <v>500</v>
      </c>
      <c r="H11" s="147">
        <f t="shared" si="2"/>
        <v>416.66666666666663</v>
      </c>
      <c r="I11" s="147">
        <f t="shared" si="2"/>
        <v>0</v>
      </c>
      <c r="J11" s="147">
        <f t="shared" si="2"/>
        <v>416.66666666666663</v>
      </c>
      <c r="K11" s="146"/>
      <c r="L11" s="145">
        <f>SUM(L7:L10)</f>
        <v>500</v>
      </c>
      <c r="M11" s="147">
        <f t="shared" ref="M11:O11" si="3">SUM(M7:M10)</f>
        <v>416.66666666666663</v>
      </c>
      <c r="N11" s="147">
        <f t="shared" si="3"/>
        <v>0</v>
      </c>
      <c r="O11" s="147">
        <f t="shared" si="3"/>
        <v>416.66666666666663</v>
      </c>
    </row>
    <row r="12" spans="1:18" x14ac:dyDescent="0.25">
      <c r="A12" s="44"/>
      <c r="C12" s="120"/>
      <c r="D12" s="123"/>
      <c r="E12" s="122"/>
      <c r="F12" s="120"/>
      <c r="G12" s="123"/>
      <c r="H12" s="122"/>
      <c r="I12" s="122"/>
      <c r="J12" s="122"/>
      <c r="K12" s="122"/>
      <c r="L12" s="123"/>
      <c r="M12" s="124"/>
      <c r="N12" s="124"/>
      <c r="O12" s="122"/>
    </row>
    <row r="13" spans="1:18" x14ac:dyDescent="0.25">
      <c r="A13" s="44" t="s">
        <v>99</v>
      </c>
      <c r="C13" s="94">
        <f>D13-G13</f>
        <v>175</v>
      </c>
      <c r="D13" s="121">
        <f>Reserves!F8</f>
        <v>3675</v>
      </c>
      <c r="E13" s="122"/>
      <c r="F13" s="94">
        <f t="shared" ref="F13" si="4">G13-L13</f>
        <v>0</v>
      </c>
      <c r="G13" s="121">
        <v>3500</v>
      </c>
      <c r="H13" s="96">
        <f>G13/12*10</f>
        <v>2916.666666666667</v>
      </c>
      <c r="I13" s="122">
        <v>0</v>
      </c>
      <c r="J13" s="96">
        <f>H13-I13</f>
        <v>2916.666666666667</v>
      </c>
      <c r="K13" s="122"/>
      <c r="L13" s="121">
        <v>3500</v>
      </c>
      <c r="M13" s="122">
        <v>2917</v>
      </c>
      <c r="N13" s="122">
        <v>2250</v>
      </c>
      <c r="O13" s="96">
        <f>M13-N13</f>
        <v>667</v>
      </c>
      <c r="Q13" s="52"/>
    </row>
    <row r="14" spans="1:18" x14ac:dyDescent="0.25">
      <c r="A14" s="44"/>
      <c r="C14" s="120"/>
      <c r="D14" s="121"/>
      <c r="E14" s="122"/>
      <c r="F14" s="94"/>
      <c r="G14" s="121"/>
      <c r="H14" s="122"/>
      <c r="I14" s="122"/>
      <c r="J14" s="122"/>
      <c r="K14" s="122"/>
      <c r="L14" s="121"/>
      <c r="M14" s="122"/>
      <c r="N14" s="122"/>
      <c r="O14" s="96"/>
    </row>
    <row r="15" spans="1:18" s="142" customFormat="1" ht="15.75" thickBot="1" x14ac:dyDescent="0.3">
      <c r="A15" s="148" t="s">
        <v>1</v>
      </c>
      <c r="C15" s="144">
        <f>SUM(C11:C13)</f>
        <v>175</v>
      </c>
      <c r="D15" s="145">
        <f>SUM(D11:D13)</f>
        <v>4175</v>
      </c>
      <c r="E15" s="146"/>
      <c r="F15" s="144">
        <f>SUM(F11:F13)</f>
        <v>0</v>
      </c>
      <c r="G15" s="145">
        <f>SUM(G11:G13)</f>
        <v>4000</v>
      </c>
      <c r="H15" s="147">
        <f>SUM(H11:H13)</f>
        <v>3333.3333333333335</v>
      </c>
      <c r="I15" s="147">
        <f>SUM(I11:I13)</f>
        <v>0</v>
      </c>
      <c r="J15" s="147">
        <f>SUM(J11:J13)</f>
        <v>3333.3333333333335</v>
      </c>
      <c r="K15" s="146"/>
      <c r="L15" s="145">
        <f>SUM(L11:L13)</f>
        <v>4000</v>
      </c>
      <c r="M15" s="147">
        <f>SUM(M11:M13)</f>
        <v>3333.6666666666665</v>
      </c>
      <c r="N15" s="147">
        <f>SUM(N11:N13)</f>
        <v>2250</v>
      </c>
      <c r="O15" s="147">
        <f>SUM(O11:O13)</f>
        <v>1083.6666666666665</v>
      </c>
      <c r="Q15" s="169">
        <f>SUM(C15:P15)</f>
        <v>25684.000000000004</v>
      </c>
      <c r="R15" s="170" t="s">
        <v>173</v>
      </c>
    </row>
    <row r="17" spans="1:3" x14ac:dyDescent="0.25">
      <c r="A17" s="5" t="s">
        <v>164</v>
      </c>
      <c r="B17" s="5"/>
      <c r="C17" s="110">
        <f>Summary!$C$26</f>
        <v>2.4E-2</v>
      </c>
    </row>
  </sheetData>
  <sheetProtection algorithmName="SHA-512" hashValue="4iv+P7zerpW63m5rp2bTgVzYfwiP26CSA3miOx06jzxfz9RD58ZKLLZ7Yb77oBlvpGFE38U5GKdLiC5+BI4+OA==" saltValue="Ngl/y1bqyfBqVrEb9uOA3Q==" spinCount="100000" sheet="1" objects="1" scenarios="1"/>
  <mergeCells count="10">
    <mergeCell ref="C4:D4"/>
    <mergeCell ref="G4:J4"/>
    <mergeCell ref="L4:O4"/>
    <mergeCell ref="C5:C6"/>
    <mergeCell ref="D5:D6"/>
    <mergeCell ref="F5:F6"/>
    <mergeCell ref="G5:H5"/>
    <mergeCell ref="L5:M5"/>
    <mergeCell ref="H6:J6"/>
    <mergeCell ref="M6:O6"/>
  </mergeCells>
  <phoneticPr fontId="19" type="noConversion"/>
  <pageMargins left="0.74803149606299213" right="0.74803149606299213" top="0.98425196850393704" bottom="0.98425196850393704" header="0.51181102362204722" footer="0.51181102362204722"/>
  <pageSetup paperSize="9" scale="64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33"/>
  <sheetViews>
    <sheetView showGridLines="0" zoomScale="80" zoomScaleNormal="80" workbookViewId="0"/>
  </sheetViews>
  <sheetFormatPr defaultColWidth="9.140625" defaultRowHeight="15" x14ac:dyDescent="0.25"/>
  <cols>
    <col min="1" max="1" width="40.7109375" style="41" customWidth="1"/>
    <col min="2" max="2" width="2.7109375" style="41" customWidth="1"/>
    <col min="3" max="4" width="11.7109375" style="41" customWidth="1"/>
    <col min="5" max="5" width="2.7109375" style="41" customWidth="1"/>
    <col min="6" max="9" width="11.7109375" style="41" customWidth="1"/>
    <col min="10" max="10" width="11.7109375" style="85" customWidth="1"/>
    <col min="11" max="11" width="2.7109375" style="41" customWidth="1"/>
    <col min="12" max="15" width="11.7109375" style="41" customWidth="1"/>
    <col min="16" max="16" width="2.7109375" style="41" customWidth="1"/>
    <col min="17" max="17" width="9.140625" style="85"/>
    <col min="18" max="16384" width="9.140625" style="41"/>
  </cols>
  <sheetData>
    <row r="1" spans="1:18" s="57" customFormat="1" ht="21" x14ac:dyDescent="0.3">
      <c r="A1" s="35" t="s">
        <v>124</v>
      </c>
      <c r="B1" s="35"/>
      <c r="C1" s="30" t="s">
        <v>166</v>
      </c>
      <c r="D1" s="36"/>
      <c r="E1" s="36"/>
      <c r="F1" s="36"/>
      <c r="G1" s="30" t="s">
        <v>231</v>
      </c>
      <c r="H1" s="20"/>
      <c r="I1" s="203">
        <v>6</v>
      </c>
      <c r="J1" s="20"/>
      <c r="K1" s="20"/>
      <c r="L1" s="20"/>
      <c r="M1" s="20"/>
      <c r="N1" s="20"/>
      <c r="O1" s="20"/>
      <c r="P1" s="20"/>
      <c r="Q1" s="20"/>
    </row>
    <row r="2" spans="1:18" x14ac:dyDescent="0.25">
      <c r="A2" s="3"/>
      <c r="B2" s="3"/>
      <c r="C2" s="3"/>
      <c r="D2" s="4"/>
      <c r="E2" s="4"/>
      <c r="F2" s="4"/>
      <c r="G2" s="3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8" s="56" customFormat="1" ht="21" x14ac:dyDescent="0.35">
      <c r="A3" s="30" t="s">
        <v>234</v>
      </c>
      <c r="B3" s="37"/>
      <c r="C3" s="37"/>
      <c r="D3" s="37"/>
      <c r="E3" s="37"/>
      <c r="F3" s="37"/>
      <c r="G3" s="30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8" s="56" customFormat="1" ht="21" x14ac:dyDescent="0.35">
      <c r="A4" s="21"/>
      <c r="B4" s="21"/>
      <c r="C4" s="313">
        <v>2019</v>
      </c>
      <c r="D4" s="313"/>
      <c r="E4" s="22"/>
      <c r="F4" s="21"/>
      <c r="G4" s="313">
        <v>2018</v>
      </c>
      <c r="H4" s="314"/>
      <c r="I4" s="314"/>
      <c r="J4" s="314"/>
      <c r="K4" s="21"/>
      <c r="L4" s="313">
        <v>2017</v>
      </c>
      <c r="M4" s="313"/>
      <c r="N4" s="313"/>
      <c r="O4" s="313"/>
      <c r="P4" s="22"/>
      <c r="Q4" s="24" t="s">
        <v>98</v>
      </c>
    </row>
    <row r="5" spans="1:18" x14ac:dyDescent="0.25">
      <c r="A5" s="31"/>
      <c r="B5" s="31"/>
      <c r="C5" s="315" t="s">
        <v>163</v>
      </c>
      <c r="D5" s="317" t="s">
        <v>44</v>
      </c>
      <c r="E5" s="31"/>
      <c r="F5" s="315" t="s">
        <v>162</v>
      </c>
      <c r="G5" s="321" t="s">
        <v>161</v>
      </c>
      <c r="H5" s="321"/>
      <c r="I5" s="32" t="s">
        <v>117</v>
      </c>
      <c r="J5" s="32" t="s">
        <v>97</v>
      </c>
      <c r="K5" s="31"/>
      <c r="L5" s="321" t="s">
        <v>161</v>
      </c>
      <c r="M5" s="330"/>
      <c r="N5" s="32" t="s">
        <v>117</v>
      </c>
      <c r="O5" s="32" t="s">
        <v>97</v>
      </c>
      <c r="P5" s="32"/>
      <c r="Q5" s="16"/>
    </row>
    <row r="6" spans="1:18" x14ac:dyDescent="0.25">
      <c r="A6" s="31"/>
      <c r="B6" s="31"/>
      <c r="C6" s="332"/>
      <c r="D6" s="318"/>
      <c r="E6" s="31"/>
      <c r="F6" s="319"/>
      <c r="G6" s="34" t="s">
        <v>159</v>
      </c>
      <c r="H6" s="321" t="s">
        <v>160</v>
      </c>
      <c r="I6" s="310"/>
      <c r="J6" s="310"/>
      <c r="K6" s="31"/>
      <c r="L6" s="34" t="s">
        <v>159</v>
      </c>
      <c r="M6" s="321" t="s">
        <v>160</v>
      </c>
      <c r="N6" s="310"/>
      <c r="O6" s="310"/>
      <c r="P6" s="32"/>
      <c r="Q6" s="16"/>
    </row>
    <row r="7" spans="1:18" x14ac:dyDescent="0.25">
      <c r="A7" s="59" t="s">
        <v>20</v>
      </c>
      <c r="C7" s="125"/>
      <c r="D7" s="126"/>
      <c r="E7" s="127"/>
      <c r="F7" s="125"/>
      <c r="G7" s="126"/>
      <c r="H7" s="127"/>
      <c r="I7" s="127"/>
      <c r="J7" s="128"/>
      <c r="K7" s="127"/>
      <c r="L7" s="126"/>
      <c r="M7" s="127"/>
      <c r="N7" s="127"/>
      <c r="O7" s="127"/>
    </row>
    <row r="8" spans="1:18" x14ac:dyDescent="0.25">
      <c r="A8" s="60" t="s">
        <v>21</v>
      </c>
      <c r="C8" s="94">
        <f>D8-G8</f>
        <v>50</v>
      </c>
      <c r="D8" s="126">
        <v>900</v>
      </c>
      <c r="E8" s="127"/>
      <c r="F8" s="89">
        <f>G8-L8</f>
        <v>25</v>
      </c>
      <c r="G8" s="126">
        <v>850</v>
      </c>
      <c r="H8" s="96">
        <f>G8/12*10</f>
        <v>708.33333333333326</v>
      </c>
      <c r="I8" s="96">
        <v>576</v>
      </c>
      <c r="J8" s="96">
        <f>H8-I8</f>
        <v>132.33333333333326</v>
      </c>
      <c r="K8" s="127"/>
      <c r="L8" s="126">
        <v>825</v>
      </c>
      <c r="M8" s="127">
        <f>SUM(L8/12*10)</f>
        <v>687.5</v>
      </c>
      <c r="N8" s="127">
        <v>646.87</v>
      </c>
      <c r="O8" s="127">
        <f>M8-N8</f>
        <v>40.629999999999995</v>
      </c>
      <c r="Q8" s="129"/>
    </row>
    <row r="9" spans="1:18" x14ac:dyDescent="0.25">
      <c r="A9" s="60" t="s">
        <v>14</v>
      </c>
      <c r="B9" s="8" t="s">
        <v>165</v>
      </c>
      <c r="C9" s="94">
        <f>D9-G9</f>
        <v>2.8799999999999955</v>
      </c>
      <c r="D9" s="95">
        <f>G9+(G9*$C$33)</f>
        <v>122.88</v>
      </c>
      <c r="E9" s="127"/>
      <c r="F9" s="89">
        <f>G9-L9</f>
        <v>0</v>
      </c>
      <c r="G9" s="126">
        <v>120</v>
      </c>
      <c r="H9" s="96">
        <f t="shared" ref="H9:H11" si="0">G9/12*10</f>
        <v>100</v>
      </c>
      <c r="I9" s="96">
        <v>115</v>
      </c>
      <c r="J9" s="96">
        <f t="shared" ref="J9:J11" si="1">H9-I9</f>
        <v>-15</v>
      </c>
      <c r="K9" s="127"/>
      <c r="L9" s="126">
        <v>120</v>
      </c>
      <c r="M9" s="127">
        <f t="shared" ref="M9:M10" si="2">SUM(L9/12*10)</f>
        <v>100</v>
      </c>
      <c r="N9" s="127">
        <v>100</v>
      </c>
      <c r="O9" s="127">
        <f t="shared" ref="O9:O10" si="3">M9-N9</f>
        <v>0</v>
      </c>
      <c r="Q9" s="129"/>
      <c r="R9" s="27"/>
    </row>
    <row r="10" spans="1:18" x14ac:dyDescent="0.25">
      <c r="A10" s="60" t="s">
        <v>15</v>
      </c>
      <c r="B10" s="8" t="s">
        <v>165</v>
      </c>
      <c r="C10" s="94">
        <f>D10-G10</f>
        <v>-88</v>
      </c>
      <c r="D10" s="95">
        <f>500+(500*$C$33)</f>
        <v>512</v>
      </c>
      <c r="E10" s="127"/>
      <c r="F10" s="89">
        <f>G10-L10</f>
        <v>-200</v>
      </c>
      <c r="G10" s="126">
        <v>600</v>
      </c>
      <c r="H10" s="96">
        <f t="shared" si="0"/>
        <v>500</v>
      </c>
      <c r="I10" s="96">
        <v>360.87</v>
      </c>
      <c r="J10" s="96">
        <f t="shared" si="1"/>
        <v>139.13</v>
      </c>
      <c r="K10" s="127"/>
      <c r="L10" s="126">
        <v>800</v>
      </c>
      <c r="M10" s="127">
        <f t="shared" si="2"/>
        <v>666.66666666666674</v>
      </c>
      <c r="N10" s="127">
        <v>164.94</v>
      </c>
      <c r="O10" s="127">
        <f t="shared" si="3"/>
        <v>501.72666666666674</v>
      </c>
      <c r="Q10" s="198"/>
    </row>
    <row r="11" spans="1:18" x14ac:dyDescent="0.25">
      <c r="A11" s="60" t="s">
        <v>153</v>
      </c>
      <c r="C11" s="94">
        <f>D11-G11</f>
        <v>210</v>
      </c>
      <c r="D11" s="126">
        <f>175*1.2</f>
        <v>210</v>
      </c>
      <c r="E11" s="127"/>
      <c r="F11" s="89">
        <f>G11-L11</f>
        <v>0</v>
      </c>
      <c r="G11" s="126">
        <v>0</v>
      </c>
      <c r="H11" s="96">
        <f t="shared" si="0"/>
        <v>0</v>
      </c>
      <c r="I11" s="127">
        <v>0</v>
      </c>
      <c r="J11" s="96">
        <f t="shared" si="1"/>
        <v>0</v>
      </c>
      <c r="K11" s="127"/>
      <c r="L11" s="126">
        <v>0</v>
      </c>
      <c r="M11" s="127">
        <f t="shared" ref="M11" si="4">SUM(L11/12*10)</f>
        <v>0</v>
      </c>
      <c r="N11" s="127">
        <v>0</v>
      </c>
      <c r="O11" s="127">
        <f t="shared" ref="O11" si="5">M11-N11</f>
        <v>0</v>
      </c>
      <c r="Q11" s="129"/>
    </row>
    <row r="12" spans="1:18" x14ac:dyDescent="0.25">
      <c r="A12" s="60"/>
      <c r="C12" s="94"/>
      <c r="D12" s="126"/>
      <c r="E12" s="127"/>
      <c r="F12" s="125"/>
      <c r="G12" s="126"/>
      <c r="H12" s="127"/>
      <c r="I12" s="127"/>
      <c r="J12" s="128"/>
      <c r="K12" s="127"/>
      <c r="L12" s="126"/>
      <c r="M12" s="127"/>
      <c r="N12" s="127"/>
      <c r="O12" s="127"/>
      <c r="Q12" s="129"/>
    </row>
    <row r="13" spans="1:18" s="142" customFormat="1" ht="15.75" thickBot="1" x14ac:dyDescent="0.3">
      <c r="A13" s="148" t="s">
        <v>169</v>
      </c>
      <c r="C13" s="149">
        <f>SUM(C7:C12)</f>
        <v>174.88</v>
      </c>
      <c r="D13" s="150">
        <f>SUM(D7:D12)</f>
        <v>1744.88</v>
      </c>
      <c r="E13" s="148"/>
      <c r="F13" s="149">
        <f t="shared" ref="F13:J13" si="6">SUM(F7:F12)</f>
        <v>-175</v>
      </c>
      <c r="G13" s="150">
        <f t="shared" si="6"/>
        <v>1570</v>
      </c>
      <c r="H13" s="148">
        <f t="shared" si="6"/>
        <v>1308.3333333333333</v>
      </c>
      <c r="I13" s="148">
        <f t="shared" si="6"/>
        <v>1051.8699999999999</v>
      </c>
      <c r="J13" s="152">
        <f t="shared" si="6"/>
        <v>256.46333333333325</v>
      </c>
      <c r="K13" s="151"/>
      <c r="L13" s="150">
        <f t="shared" ref="L13:O13" si="7">SUM(L7:L12)</f>
        <v>1745</v>
      </c>
      <c r="M13" s="148">
        <f t="shared" si="7"/>
        <v>1454.1666666666667</v>
      </c>
      <c r="N13" s="148">
        <f t="shared" si="7"/>
        <v>911.81</v>
      </c>
      <c r="O13" s="148">
        <f t="shared" si="7"/>
        <v>542.3566666666668</v>
      </c>
      <c r="Q13" s="153"/>
    </row>
    <row r="14" spans="1:18" x14ac:dyDescent="0.25">
      <c r="A14" s="88"/>
      <c r="C14" s="133"/>
      <c r="D14" s="134"/>
      <c r="E14" s="135"/>
      <c r="F14" s="133"/>
      <c r="G14" s="134"/>
      <c r="H14" s="135"/>
      <c r="I14" s="135"/>
      <c r="J14" s="136"/>
      <c r="K14" s="127"/>
      <c r="L14" s="134"/>
      <c r="M14" s="135"/>
      <c r="N14" s="135"/>
      <c r="O14" s="135"/>
      <c r="Q14" s="129"/>
    </row>
    <row r="15" spans="1:18" x14ac:dyDescent="0.25">
      <c r="A15" s="59" t="s">
        <v>0</v>
      </c>
      <c r="C15" s="125"/>
      <c r="D15" s="126"/>
      <c r="E15" s="127"/>
      <c r="F15" s="125"/>
      <c r="G15" s="126"/>
      <c r="H15" s="127"/>
      <c r="I15" s="127"/>
      <c r="J15" s="128"/>
      <c r="K15" s="127"/>
      <c r="L15" s="126"/>
      <c r="M15" s="127"/>
      <c r="N15" s="127"/>
      <c r="O15" s="127"/>
      <c r="Q15" s="129"/>
    </row>
    <row r="16" spans="1:18" x14ac:dyDescent="0.25">
      <c r="A16" s="60" t="s">
        <v>11</v>
      </c>
      <c r="B16" s="8" t="s">
        <v>165</v>
      </c>
      <c r="C16" s="94">
        <f t="shared" ref="C16:C19" si="8">D16-G16</f>
        <v>9.6000000000000227</v>
      </c>
      <c r="D16" s="95">
        <f t="shared" ref="D16:D19" si="9">G16+(G16*$C$33)</f>
        <v>409.6</v>
      </c>
      <c r="E16" s="127"/>
      <c r="F16" s="89">
        <f t="shared" ref="F16:F21" si="10">G16-L16</f>
        <v>0</v>
      </c>
      <c r="G16" s="126">
        <v>400</v>
      </c>
      <c r="H16" s="96">
        <f t="shared" ref="H16:H21" si="11">G16/12*10</f>
        <v>333.33333333333337</v>
      </c>
      <c r="I16" s="96">
        <v>180.11</v>
      </c>
      <c r="J16" s="96">
        <f t="shared" ref="J16:J21" si="12">H16-I16</f>
        <v>153.22333333333336</v>
      </c>
      <c r="K16" s="127"/>
      <c r="L16" s="126">
        <v>400</v>
      </c>
      <c r="M16" s="127">
        <f t="shared" ref="M16:M21" si="13">SUM(L16/12*10)</f>
        <v>333.33333333333337</v>
      </c>
      <c r="N16" s="127">
        <v>302.83999999999997</v>
      </c>
      <c r="O16" s="127">
        <f t="shared" ref="O16:O21" si="14">M16-N16</f>
        <v>30.493333333333396</v>
      </c>
      <c r="Q16" s="129"/>
    </row>
    <row r="17" spans="1:18" x14ac:dyDescent="0.25">
      <c r="A17" s="60" t="s">
        <v>12</v>
      </c>
      <c r="B17" s="8" t="s">
        <v>165</v>
      </c>
      <c r="C17" s="94">
        <f t="shared" si="8"/>
        <v>1.2000000000000028</v>
      </c>
      <c r="D17" s="95">
        <f t="shared" si="9"/>
        <v>51.2</v>
      </c>
      <c r="E17" s="127"/>
      <c r="F17" s="89">
        <f t="shared" si="10"/>
        <v>0</v>
      </c>
      <c r="G17" s="126">
        <v>50</v>
      </c>
      <c r="H17" s="96">
        <f t="shared" si="11"/>
        <v>41.666666666666671</v>
      </c>
      <c r="I17" s="96">
        <v>0</v>
      </c>
      <c r="J17" s="96">
        <f t="shared" si="12"/>
        <v>41.666666666666671</v>
      </c>
      <c r="K17" s="127"/>
      <c r="L17" s="126">
        <v>50</v>
      </c>
      <c r="M17" s="127">
        <f t="shared" si="13"/>
        <v>41.666666666666671</v>
      </c>
      <c r="N17" s="127">
        <v>0</v>
      </c>
      <c r="O17" s="127">
        <f t="shared" si="14"/>
        <v>41.666666666666671</v>
      </c>
      <c r="Q17" s="129"/>
      <c r="R17" s="58"/>
    </row>
    <row r="18" spans="1:18" x14ac:dyDescent="0.25">
      <c r="A18" s="60" t="s">
        <v>12</v>
      </c>
      <c r="B18" s="8" t="s">
        <v>165</v>
      </c>
      <c r="C18" s="94">
        <f t="shared" si="8"/>
        <v>2.4000000000000057</v>
      </c>
      <c r="D18" s="95">
        <f t="shared" si="9"/>
        <v>102.4</v>
      </c>
      <c r="E18" s="127"/>
      <c r="F18" s="89">
        <f t="shared" si="10"/>
        <v>47</v>
      </c>
      <c r="G18" s="126">
        <v>100</v>
      </c>
      <c r="H18" s="96">
        <f t="shared" si="11"/>
        <v>83.333333333333343</v>
      </c>
      <c r="I18" s="96">
        <v>90</v>
      </c>
      <c r="J18" s="96">
        <f t="shared" si="12"/>
        <v>-6.6666666666666572</v>
      </c>
      <c r="K18" s="127"/>
      <c r="L18" s="126">
        <v>53</v>
      </c>
      <c r="M18" s="127">
        <f t="shared" si="13"/>
        <v>44.166666666666671</v>
      </c>
      <c r="N18" s="127">
        <v>90</v>
      </c>
      <c r="O18" s="127">
        <f t="shared" si="14"/>
        <v>-45.833333333333329</v>
      </c>
      <c r="Q18" s="129"/>
    </row>
    <row r="19" spans="1:18" x14ac:dyDescent="0.25">
      <c r="A19" s="60" t="s">
        <v>69</v>
      </c>
      <c r="B19" s="8" t="s">
        <v>165</v>
      </c>
      <c r="C19" s="94">
        <f t="shared" si="8"/>
        <v>1.2000000000000028</v>
      </c>
      <c r="D19" s="95">
        <f t="shared" si="9"/>
        <v>51.2</v>
      </c>
      <c r="E19" s="127"/>
      <c r="F19" s="89">
        <f t="shared" si="10"/>
        <v>0</v>
      </c>
      <c r="G19" s="126">
        <v>50</v>
      </c>
      <c r="H19" s="96">
        <f t="shared" si="11"/>
        <v>41.666666666666671</v>
      </c>
      <c r="I19" s="96">
        <v>30</v>
      </c>
      <c r="J19" s="96">
        <f t="shared" si="12"/>
        <v>11.666666666666671</v>
      </c>
      <c r="K19" s="127"/>
      <c r="L19" s="126">
        <v>50</v>
      </c>
      <c r="M19" s="127">
        <f t="shared" si="13"/>
        <v>41.666666666666671</v>
      </c>
      <c r="N19" s="127">
        <v>30</v>
      </c>
      <c r="O19" s="127">
        <f t="shared" si="14"/>
        <v>11.666666666666671</v>
      </c>
      <c r="Q19" s="129"/>
    </row>
    <row r="20" spans="1:18" x14ac:dyDescent="0.25">
      <c r="A20" s="60" t="s">
        <v>126</v>
      </c>
      <c r="C20" s="94">
        <f t="shared" ref="C20:C21" si="15">D20-G20</f>
        <v>-513.79999999999995</v>
      </c>
      <c r="D20" s="126">
        <v>0</v>
      </c>
      <c r="E20" s="127"/>
      <c r="F20" s="89">
        <f t="shared" si="10"/>
        <v>513.79999999999995</v>
      </c>
      <c r="G20" s="126">
        <v>513.79999999999995</v>
      </c>
      <c r="H20" s="96">
        <f t="shared" si="11"/>
        <v>428.16666666666663</v>
      </c>
      <c r="I20" s="96">
        <v>0</v>
      </c>
      <c r="J20" s="96">
        <f t="shared" si="12"/>
        <v>428.16666666666663</v>
      </c>
      <c r="K20" s="127"/>
      <c r="L20" s="126">
        <v>0</v>
      </c>
      <c r="M20" s="127">
        <f t="shared" si="13"/>
        <v>0</v>
      </c>
      <c r="N20" s="127">
        <v>85</v>
      </c>
      <c r="O20" s="127">
        <f t="shared" si="14"/>
        <v>-85</v>
      </c>
      <c r="Q20" s="280" t="s">
        <v>265</v>
      </c>
    </row>
    <row r="21" spans="1:18" x14ac:dyDescent="0.25">
      <c r="A21" s="60" t="s">
        <v>152</v>
      </c>
      <c r="C21" s="94">
        <f t="shared" si="15"/>
        <v>42.920634920634924</v>
      </c>
      <c r="D21" s="126">
        <f>Reserves!W9</f>
        <v>42.920634920634924</v>
      </c>
      <c r="E21" s="127"/>
      <c r="F21" s="89">
        <f t="shared" si="10"/>
        <v>0</v>
      </c>
      <c r="G21" s="126">
        <v>0</v>
      </c>
      <c r="H21" s="96">
        <f t="shared" si="11"/>
        <v>0</v>
      </c>
      <c r="I21" s="127">
        <v>0</v>
      </c>
      <c r="J21" s="96">
        <f t="shared" si="12"/>
        <v>0</v>
      </c>
      <c r="K21" s="127"/>
      <c r="L21" s="126">
        <v>0</v>
      </c>
      <c r="M21" s="127">
        <f t="shared" si="13"/>
        <v>0</v>
      </c>
      <c r="N21" s="127">
        <v>0</v>
      </c>
      <c r="O21" s="127">
        <f t="shared" si="14"/>
        <v>0</v>
      </c>
      <c r="Q21" s="129"/>
    </row>
    <row r="22" spans="1:18" x14ac:dyDescent="0.25">
      <c r="A22" s="60"/>
      <c r="C22" s="94"/>
      <c r="D22" s="126"/>
      <c r="E22" s="127"/>
      <c r="F22" s="125"/>
      <c r="G22" s="126"/>
      <c r="H22" s="127"/>
      <c r="I22" s="127"/>
      <c r="J22" s="128"/>
      <c r="K22" s="127"/>
      <c r="L22" s="126"/>
      <c r="M22" s="127"/>
      <c r="N22" s="127"/>
      <c r="O22" s="127"/>
      <c r="Q22" s="129"/>
    </row>
    <row r="23" spans="1:18" s="142" customFormat="1" ht="15.75" thickBot="1" x14ac:dyDescent="0.3">
      <c r="A23" s="148" t="s">
        <v>170</v>
      </c>
      <c r="C23" s="149">
        <f>SUM(C15:C22)</f>
        <v>-456.47936507936498</v>
      </c>
      <c r="D23" s="150">
        <f>SUM(D15:D22)</f>
        <v>657.32063492063503</v>
      </c>
      <c r="E23" s="151"/>
      <c r="F23" s="149">
        <f t="shared" ref="F23:J23" si="16">SUM(F15:F22)</f>
        <v>560.79999999999995</v>
      </c>
      <c r="G23" s="150">
        <f t="shared" si="16"/>
        <v>1113.8</v>
      </c>
      <c r="H23" s="148">
        <f t="shared" si="16"/>
        <v>928.16666666666674</v>
      </c>
      <c r="I23" s="148">
        <f t="shared" si="16"/>
        <v>300.11</v>
      </c>
      <c r="J23" s="152">
        <f t="shared" si="16"/>
        <v>628.05666666666662</v>
      </c>
      <c r="K23" s="151"/>
      <c r="L23" s="150">
        <f t="shared" ref="L23:O23" si="17">SUM(L15:L22)</f>
        <v>553</v>
      </c>
      <c r="M23" s="148">
        <f t="shared" si="17"/>
        <v>460.83333333333343</v>
      </c>
      <c r="N23" s="148">
        <f t="shared" si="17"/>
        <v>507.84</v>
      </c>
      <c r="O23" s="148">
        <f t="shared" si="17"/>
        <v>-47.00666666666659</v>
      </c>
      <c r="Q23" s="153"/>
    </row>
    <row r="24" spans="1:18" x14ac:dyDescent="0.25">
      <c r="A24" s="44"/>
      <c r="C24" s="133"/>
      <c r="D24" s="134"/>
      <c r="E24" s="127"/>
      <c r="F24" s="133"/>
      <c r="G24" s="134"/>
      <c r="H24" s="135"/>
      <c r="I24" s="135"/>
      <c r="J24" s="136"/>
      <c r="K24" s="127"/>
      <c r="L24" s="134"/>
      <c r="M24" s="135"/>
      <c r="N24" s="135"/>
      <c r="O24" s="135"/>
      <c r="Q24" s="129"/>
    </row>
    <row r="25" spans="1:18" x14ac:dyDescent="0.25">
      <c r="A25" s="60" t="s">
        <v>91</v>
      </c>
      <c r="C25" s="94">
        <f t="shared" ref="C25" si="18">D25-G25</f>
        <v>0</v>
      </c>
      <c r="D25" s="126">
        <v>340</v>
      </c>
      <c r="E25" s="127"/>
      <c r="F25" s="89">
        <f>G25-L25</f>
        <v>0</v>
      </c>
      <c r="G25" s="126">
        <v>340</v>
      </c>
      <c r="H25" s="96">
        <f t="shared" ref="H25" si="19">G25/12*10</f>
        <v>283.33333333333331</v>
      </c>
      <c r="I25" s="96">
        <v>0</v>
      </c>
      <c r="J25" s="96">
        <f t="shared" ref="J25" si="20">H25-I25</f>
        <v>283.33333333333331</v>
      </c>
      <c r="K25" s="127"/>
      <c r="L25" s="126">
        <v>340</v>
      </c>
      <c r="M25" s="127">
        <f t="shared" ref="M25" si="21">SUM(L25/12*10)</f>
        <v>283.33333333333331</v>
      </c>
      <c r="N25" s="127">
        <v>0</v>
      </c>
      <c r="O25" s="127">
        <f t="shared" ref="O25" si="22">M25-N25</f>
        <v>283.33333333333331</v>
      </c>
      <c r="Q25" s="129"/>
    </row>
    <row r="26" spans="1:18" x14ac:dyDescent="0.25">
      <c r="A26" s="60"/>
      <c r="C26" s="125"/>
      <c r="D26" s="126"/>
      <c r="E26" s="127"/>
      <c r="F26" s="89"/>
      <c r="G26" s="126"/>
      <c r="H26" s="96"/>
      <c r="I26" s="96"/>
      <c r="J26" s="96"/>
      <c r="K26" s="127"/>
      <c r="L26" s="126"/>
      <c r="M26" s="127"/>
      <c r="N26" s="127"/>
      <c r="O26" s="127"/>
      <c r="Q26" s="129"/>
    </row>
    <row r="27" spans="1:18" s="142" customFormat="1" ht="15.75" thickBot="1" x14ac:dyDescent="0.3">
      <c r="A27" s="148" t="s">
        <v>168</v>
      </c>
      <c r="C27" s="149">
        <f t="shared" ref="C27:D27" si="23">C13+C23+C25</f>
        <v>-281.59936507936499</v>
      </c>
      <c r="D27" s="150">
        <f t="shared" si="23"/>
        <v>2742.2006349206349</v>
      </c>
      <c r="E27" s="151"/>
      <c r="F27" s="149">
        <f t="shared" ref="F27:J27" si="24">F13+F23+F25</f>
        <v>385.79999999999995</v>
      </c>
      <c r="G27" s="150">
        <f t="shared" si="24"/>
        <v>3023.8</v>
      </c>
      <c r="H27" s="148">
        <f t="shared" si="24"/>
        <v>2519.8333333333335</v>
      </c>
      <c r="I27" s="148">
        <f t="shared" si="24"/>
        <v>1351.98</v>
      </c>
      <c r="J27" s="148">
        <f t="shared" si="24"/>
        <v>1167.8533333333332</v>
      </c>
      <c r="K27" s="151"/>
      <c r="L27" s="150">
        <f>L13+L23+L25</f>
        <v>2638</v>
      </c>
      <c r="M27" s="148">
        <f t="shared" ref="M27:O27" si="25">M13+M23+M25</f>
        <v>2198.3333333333335</v>
      </c>
      <c r="N27" s="148">
        <f t="shared" si="25"/>
        <v>1419.6499999999999</v>
      </c>
      <c r="O27" s="148">
        <f t="shared" si="25"/>
        <v>778.68333333333351</v>
      </c>
      <c r="Q27" s="153"/>
    </row>
    <row r="28" spans="1:18" x14ac:dyDescent="0.25">
      <c r="A28" s="44"/>
      <c r="C28" s="125"/>
      <c r="D28" s="134"/>
      <c r="E28" s="127"/>
      <c r="F28" s="125"/>
      <c r="G28" s="134"/>
      <c r="H28" s="127"/>
      <c r="I28" s="127"/>
      <c r="J28" s="128"/>
      <c r="K28" s="127"/>
      <c r="L28" s="134"/>
      <c r="M28" s="135"/>
      <c r="N28" s="135"/>
      <c r="O28" s="127"/>
      <c r="Q28" s="129"/>
    </row>
    <row r="29" spans="1:18" x14ac:dyDescent="0.25">
      <c r="A29" s="44" t="s">
        <v>99</v>
      </c>
      <c r="C29" s="94">
        <f t="shared" ref="C29" si="26">D29-G29</f>
        <v>0</v>
      </c>
      <c r="D29" s="126">
        <f>Reserves!F9</f>
        <v>3700</v>
      </c>
      <c r="E29" s="127"/>
      <c r="F29" s="89">
        <f>G29-L29</f>
        <v>0</v>
      </c>
      <c r="G29" s="126">
        <v>3700</v>
      </c>
      <c r="H29" s="96">
        <f t="shared" ref="H29" si="27">G29/12*10</f>
        <v>3083.333333333333</v>
      </c>
      <c r="I29" s="96">
        <v>0</v>
      </c>
      <c r="J29" s="96">
        <f t="shared" ref="J29" si="28">H29-I29</f>
        <v>3083.333333333333</v>
      </c>
      <c r="K29" s="127"/>
      <c r="L29" s="126">
        <v>3700</v>
      </c>
      <c r="M29" s="127">
        <f t="shared" ref="M29" si="29">SUM(L29/12*10)</f>
        <v>3083.333333333333</v>
      </c>
      <c r="N29" s="127">
        <v>2775</v>
      </c>
      <c r="O29" s="127">
        <f>M29-N29</f>
        <v>308.33333333333303</v>
      </c>
      <c r="Q29" s="137"/>
    </row>
    <row r="30" spans="1:18" x14ac:dyDescent="0.25">
      <c r="A30" s="44"/>
      <c r="C30" s="125"/>
      <c r="D30" s="126"/>
      <c r="E30" s="127"/>
      <c r="F30" s="89"/>
      <c r="G30" s="126"/>
      <c r="H30" s="96"/>
      <c r="I30" s="96"/>
      <c r="J30" s="96"/>
      <c r="K30" s="127"/>
      <c r="L30" s="126"/>
      <c r="M30" s="127"/>
      <c r="N30" s="127"/>
      <c r="O30" s="127"/>
      <c r="Q30" s="137"/>
    </row>
    <row r="31" spans="1:18" s="142" customFormat="1" ht="15.75" thickBot="1" x14ac:dyDescent="0.3">
      <c r="A31" s="148" t="s">
        <v>1</v>
      </c>
      <c r="C31" s="138">
        <f t="shared" ref="C31:D31" si="30">SUM(C27:C30)</f>
        <v>-281.59936507936499</v>
      </c>
      <c r="D31" s="139">
        <f t="shared" si="30"/>
        <v>6442.2006349206349</v>
      </c>
      <c r="E31" s="151"/>
      <c r="F31" s="138">
        <f t="shared" ref="F31:J31" si="31">SUM(F27:F30)</f>
        <v>385.79999999999995</v>
      </c>
      <c r="G31" s="139">
        <f t="shared" si="31"/>
        <v>6723.8</v>
      </c>
      <c r="H31" s="140">
        <f t="shared" si="31"/>
        <v>5603.1666666666661</v>
      </c>
      <c r="I31" s="140">
        <f t="shared" si="31"/>
        <v>1351.98</v>
      </c>
      <c r="J31" s="140">
        <f t="shared" si="31"/>
        <v>4251.1866666666665</v>
      </c>
      <c r="K31" s="151"/>
      <c r="L31" s="139">
        <f>SUM(L27:L30)</f>
        <v>6338</v>
      </c>
      <c r="M31" s="140">
        <f t="shared" ref="M31:O31" si="32">SUM(M27:M30)</f>
        <v>5281.6666666666661</v>
      </c>
      <c r="N31" s="140">
        <f t="shared" si="32"/>
        <v>4194.6499999999996</v>
      </c>
      <c r="O31" s="140">
        <f t="shared" si="32"/>
        <v>1087.0166666666664</v>
      </c>
      <c r="Q31" s="169">
        <f>SUM(C31:P31)</f>
        <v>41377.86793650793</v>
      </c>
      <c r="R31" s="170" t="s">
        <v>173</v>
      </c>
    </row>
    <row r="33" spans="1:3" x14ac:dyDescent="0.25">
      <c r="A33" s="5" t="s">
        <v>164</v>
      </c>
      <c r="B33" s="5"/>
      <c r="C33" s="110">
        <f>Summary!$C$26</f>
        <v>2.4E-2</v>
      </c>
    </row>
  </sheetData>
  <sheetProtection algorithmName="SHA-512" hashValue="IkLPc4yMiHuXouxDhmQ6cwU/8qkjAFgJJ1u+EWCcng3BfYL+Jq9MTteB7wgxCKhlgXXDII+CPQIyaSjwYVF+bA==" saltValue="i22S0AMIkQ+Iaw/zstPJ6w==" spinCount="100000" sheet="1" objects="1" scenarios="1"/>
  <mergeCells count="10">
    <mergeCell ref="C4:D4"/>
    <mergeCell ref="G4:J4"/>
    <mergeCell ref="L4:O4"/>
    <mergeCell ref="C5:C6"/>
    <mergeCell ref="D5:D6"/>
    <mergeCell ref="F5:F6"/>
    <mergeCell ref="G5:H5"/>
    <mergeCell ref="L5:M5"/>
    <mergeCell ref="H6:J6"/>
    <mergeCell ref="M6:O6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80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33"/>
  <sheetViews>
    <sheetView showGridLines="0" zoomScale="80" zoomScaleNormal="80" workbookViewId="0"/>
  </sheetViews>
  <sheetFormatPr defaultColWidth="9.140625" defaultRowHeight="15" x14ac:dyDescent="0.25"/>
  <cols>
    <col min="1" max="1" width="40.7109375" style="41" customWidth="1"/>
    <col min="2" max="2" width="2.7109375" style="41" customWidth="1"/>
    <col min="3" max="4" width="11.7109375" style="41" customWidth="1"/>
    <col min="5" max="5" width="2.7109375" style="41" customWidth="1"/>
    <col min="6" max="10" width="11.7109375" style="41" customWidth="1"/>
    <col min="11" max="11" width="2.7109375" style="41" customWidth="1"/>
    <col min="12" max="15" width="11.7109375" style="41" customWidth="1"/>
    <col min="16" max="16" width="2.7109375" style="41" customWidth="1"/>
    <col min="17" max="16384" width="9.140625" style="41"/>
  </cols>
  <sheetData>
    <row r="1" spans="1:18" ht="21" x14ac:dyDescent="0.35">
      <c r="A1" s="35" t="s">
        <v>124</v>
      </c>
      <c r="B1" s="2"/>
      <c r="C1" s="30" t="s">
        <v>166</v>
      </c>
      <c r="D1" s="2"/>
      <c r="E1" s="2"/>
      <c r="F1" s="2"/>
      <c r="G1" s="262" t="s">
        <v>231</v>
      </c>
      <c r="H1" s="2"/>
      <c r="I1" s="203">
        <v>7</v>
      </c>
      <c r="J1" s="2"/>
      <c r="K1" s="2"/>
      <c r="L1" s="2"/>
      <c r="M1" s="1"/>
      <c r="N1" s="1"/>
      <c r="O1" s="1"/>
      <c r="P1" s="1"/>
    </row>
    <row r="2" spans="1:18" ht="15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92"/>
      <c r="N2" s="92"/>
      <c r="O2" s="92"/>
      <c r="P2" s="92"/>
    </row>
    <row r="3" spans="1:18" ht="21" x14ac:dyDescent="0.25">
      <c r="A3" s="66" t="s">
        <v>235</v>
      </c>
      <c r="B3" s="65"/>
      <c r="C3" s="65"/>
      <c r="D3" s="65"/>
      <c r="E3" s="65"/>
      <c r="F3" s="65"/>
      <c r="G3" s="64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ht="21" x14ac:dyDescent="0.25">
      <c r="A4" s="21"/>
      <c r="B4" s="21"/>
      <c r="C4" s="313">
        <v>2019</v>
      </c>
      <c r="D4" s="313"/>
      <c r="E4" s="22"/>
      <c r="F4" s="21"/>
      <c r="G4" s="313">
        <v>2018</v>
      </c>
      <c r="H4" s="314"/>
      <c r="I4" s="314"/>
      <c r="J4" s="314"/>
      <c r="K4" s="21"/>
      <c r="L4" s="313">
        <v>2017</v>
      </c>
      <c r="M4" s="313"/>
      <c r="N4" s="313"/>
      <c r="O4" s="313"/>
      <c r="P4" s="22"/>
      <c r="Q4" s="6" t="s">
        <v>98</v>
      </c>
    </row>
    <row r="5" spans="1:18" x14ac:dyDescent="0.25">
      <c r="A5" s="31"/>
      <c r="B5" s="31"/>
      <c r="C5" s="315" t="s">
        <v>163</v>
      </c>
      <c r="D5" s="317" t="s">
        <v>44</v>
      </c>
      <c r="E5" s="31"/>
      <c r="F5" s="315" t="s">
        <v>162</v>
      </c>
      <c r="G5" s="321" t="s">
        <v>161</v>
      </c>
      <c r="H5" s="321"/>
      <c r="I5" s="32" t="s">
        <v>117</v>
      </c>
      <c r="J5" s="32" t="s">
        <v>97</v>
      </c>
      <c r="K5" s="31"/>
      <c r="L5" s="321" t="s">
        <v>161</v>
      </c>
      <c r="M5" s="330"/>
      <c r="N5" s="32" t="s">
        <v>117</v>
      </c>
      <c r="O5" s="32" t="s">
        <v>97</v>
      </c>
      <c r="P5" s="32"/>
      <c r="Q5" s="33"/>
    </row>
    <row r="6" spans="1:18" x14ac:dyDescent="0.25">
      <c r="A6" s="31"/>
      <c r="B6" s="31"/>
      <c r="C6" s="332"/>
      <c r="D6" s="318"/>
      <c r="E6" s="31"/>
      <c r="F6" s="319"/>
      <c r="G6" s="34" t="s">
        <v>159</v>
      </c>
      <c r="H6" s="321" t="s">
        <v>160</v>
      </c>
      <c r="I6" s="310"/>
      <c r="J6" s="310"/>
      <c r="K6" s="31"/>
      <c r="L6" s="34" t="s">
        <v>159</v>
      </c>
      <c r="M6" s="321" t="s">
        <v>160</v>
      </c>
      <c r="N6" s="310"/>
      <c r="O6" s="310"/>
      <c r="P6" s="32"/>
      <c r="Q6" s="33"/>
    </row>
    <row r="7" spans="1:18" x14ac:dyDescent="0.25">
      <c r="A7" s="88" t="s">
        <v>20</v>
      </c>
      <c r="B7" s="88"/>
      <c r="C7" s="89"/>
      <c r="D7" s="90"/>
      <c r="E7" s="91"/>
      <c r="F7" s="89"/>
      <c r="G7" s="90"/>
      <c r="H7" s="91"/>
      <c r="I7" s="91"/>
      <c r="J7" s="91"/>
      <c r="K7" s="91"/>
      <c r="L7" s="90"/>
      <c r="M7" s="91"/>
      <c r="N7" s="91"/>
      <c r="O7" s="91"/>
      <c r="P7" s="5"/>
      <c r="Q7" s="5"/>
    </row>
    <row r="8" spans="1:18" x14ac:dyDescent="0.25">
      <c r="A8" s="93" t="s">
        <v>21</v>
      </c>
      <c r="B8" s="93"/>
      <c r="C8" s="94">
        <f>D8-G8</f>
        <v>38</v>
      </c>
      <c r="D8" s="95">
        <v>688</v>
      </c>
      <c r="E8" s="91"/>
      <c r="F8" s="89">
        <f>G8-L8</f>
        <v>100</v>
      </c>
      <c r="G8" s="95">
        <v>650</v>
      </c>
      <c r="H8" s="96">
        <f>G8/12*10</f>
        <v>541.66666666666663</v>
      </c>
      <c r="I8" s="127">
        <v>650</v>
      </c>
      <c r="J8" s="96">
        <f>H8-I8</f>
        <v>-108.33333333333337</v>
      </c>
      <c r="K8" s="91"/>
      <c r="L8" s="126">
        <v>550</v>
      </c>
      <c r="M8" s="96">
        <f>L8/12*10</f>
        <v>458.33333333333337</v>
      </c>
      <c r="N8" s="127">
        <v>463.95</v>
      </c>
      <c r="O8" s="91">
        <f>M8-N8</f>
        <v>-5.6166666666666174</v>
      </c>
      <c r="P8" s="15"/>
      <c r="Q8" s="85"/>
    </row>
    <row r="9" spans="1:18" x14ac:dyDescent="0.25">
      <c r="A9" s="93" t="s">
        <v>14</v>
      </c>
      <c r="B9" s="93" t="s">
        <v>165</v>
      </c>
      <c r="C9" s="94">
        <f>D9-G9</f>
        <v>2.1599999999999966</v>
      </c>
      <c r="D9" s="95">
        <f>G9+(G9*$C$33)</f>
        <v>92.16</v>
      </c>
      <c r="E9" s="91"/>
      <c r="F9" s="89">
        <f t="shared" ref="F9:F10" si="0">G9-L9</f>
        <v>0</v>
      </c>
      <c r="G9" s="95">
        <v>90</v>
      </c>
      <c r="H9" s="96">
        <f>G9/12*10</f>
        <v>75</v>
      </c>
      <c r="I9" s="127">
        <v>90</v>
      </c>
      <c r="J9" s="96">
        <f>H9-I9</f>
        <v>-15</v>
      </c>
      <c r="K9" s="91"/>
      <c r="L9" s="126">
        <v>90</v>
      </c>
      <c r="M9" s="96">
        <f>L9/12*10</f>
        <v>75</v>
      </c>
      <c r="N9" s="127">
        <v>75</v>
      </c>
      <c r="O9" s="91">
        <f>M9-N9</f>
        <v>0</v>
      </c>
      <c r="P9" s="15"/>
      <c r="Q9" s="85"/>
      <c r="R9" s="27"/>
    </row>
    <row r="10" spans="1:18" x14ac:dyDescent="0.25">
      <c r="A10" s="93" t="s">
        <v>15</v>
      </c>
      <c r="B10" s="93" t="s">
        <v>165</v>
      </c>
      <c r="C10" s="94">
        <f>D10-G10</f>
        <v>9.6000000000000227</v>
      </c>
      <c r="D10" s="95">
        <f>G10+(G10*$C$33)</f>
        <v>409.6</v>
      </c>
      <c r="E10" s="91"/>
      <c r="F10" s="89">
        <f t="shared" si="0"/>
        <v>0</v>
      </c>
      <c r="G10" s="95">
        <v>400</v>
      </c>
      <c r="H10" s="96">
        <f>G10/12*10</f>
        <v>333.33333333333337</v>
      </c>
      <c r="I10" s="127">
        <v>400</v>
      </c>
      <c r="J10" s="96">
        <f>H10-I10</f>
        <v>-66.666666666666629</v>
      </c>
      <c r="K10" s="91"/>
      <c r="L10" s="126">
        <v>400</v>
      </c>
      <c r="M10" s="96">
        <f>L10/12*10</f>
        <v>333.33333333333337</v>
      </c>
      <c r="N10" s="127">
        <v>217.82</v>
      </c>
      <c r="O10" s="91">
        <f>M10-N10</f>
        <v>115.51333333333338</v>
      </c>
      <c r="P10" s="15"/>
      <c r="Q10" s="85"/>
    </row>
    <row r="11" spans="1:18" x14ac:dyDescent="0.25">
      <c r="A11" s="93" t="s">
        <v>153</v>
      </c>
      <c r="B11" s="93"/>
      <c r="C11" s="94">
        <f>D11-G11</f>
        <v>168</v>
      </c>
      <c r="D11" s="95">
        <f>140*1.2</f>
        <v>168</v>
      </c>
      <c r="E11" s="91"/>
      <c r="F11" s="89">
        <f>G11-L11</f>
        <v>0</v>
      </c>
      <c r="G11" s="95">
        <v>0</v>
      </c>
      <c r="H11" s="96">
        <f>G11/12*10</f>
        <v>0</v>
      </c>
      <c r="I11" s="96">
        <v>0</v>
      </c>
      <c r="J11" s="96">
        <f>H11-I11</f>
        <v>0</v>
      </c>
      <c r="K11" s="91"/>
      <c r="L11" s="90">
        <v>0</v>
      </c>
      <c r="M11" s="96">
        <f>L11/12*10</f>
        <v>0</v>
      </c>
      <c r="N11" s="91">
        <v>0</v>
      </c>
      <c r="O11" s="91">
        <f>M11-N11</f>
        <v>0</v>
      </c>
      <c r="P11" s="15"/>
      <c r="Q11" s="85"/>
      <c r="R11" s="27"/>
    </row>
    <row r="12" spans="1:18" x14ac:dyDescent="0.25">
      <c r="A12" s="93"/>
      <c r="B12" s="93"/>
      <c r="C12" s="94"/>
      <c r="D12" s="95"/>
      <c r="E12" s="91"/>
      <c r="F12" s="89"/>
      <c r="G12" s="95"/>
      <c r="H12" s="96"/>
      <c r="I12" s="96"/>
      <c r="J12" s="96"/>
      <c r="K12" s="91"/>
      <c r="L12" s="90"/>
      <c r="M12" s="91"/>
      <c r="N12" s="91"/>
      <c r="O12" s="91"/>
      <c r="P12" s="15"/>
      <c r="Q12" s="85"/>
    </row>
    <row r="13" spans="1:18" s="142" customFormat="1" ht="15.75" thickBot="1" x14ac:dyDescent="0.3">
      <c r="A13" s="148" t="s">
        <v>169</v>
      </c>
      <c r="B13" s="88"/>
      <c r="C13" s="98">
        <f>SUM(C7:C12)</f>
        <v>217.76000000000002</v>
      </c>
      <c r="D13" s="99">
        <f>SUM(D7:D12)</f>
        <v>1357.76</v>
      </c>
      <c r="E13" s="100"/>
      <c r="F13" s="98">
        <f t="shared" ref="F13:J13" si="1">SUM(F7:F12)</f>
        <v>100</v>
      </c>
      <c r="G13" s="99">
        <f t="shared" si="1"/>
        <v>1140</v>
      </c>
      <c r="H13" s="101">
        <f t="shared" si="1"/>
        <v>950</v>
      </c>
      <c r="I13" s="101">
        <f t="shared" si="1"/>
        <v>1140</v>
      </c>
      <c r="J13" s="101">
        <f t="shared" si="1"/>
        <v>-190</v>
      </c>
      <c r="K13" s="100"/>
      <c r="L13" s="102">
        <f t="shared" ref="L13:O13" si="2">SUM(L7:L12)</f>
        <v>1040</v>
      </c>
      <c r="M13" s="101">
        <f t="shared" si="2"/>
        <v>866.66666666666674</v>
      </c>
      <c r="N13" s="101">
        <f t="shared" si="2"/>
        <v>756.77</v>
      </c>
      <c r="O13" s="101">
        <f t="shared" si="2"/>
        <v>109.89666666666676</v>
      </c>
      <c r="P13" s="17"/>
      <c r="Q13" s="103"/>
    </row>
    <row r="14" spans="1:18" x14ac:dyDescent="0.25">
      <c r="A14" s="88"/>
      <c r="B14" s="88"/>
      <c r="C14" s="112"/>
      <c r="D14" s="113"/>
      <c r="E14" s="100"/>
      <c r="F14" s="112"/>
      <c r="G14" s="113"/>
      <c r="H14" s="115"/>
      <c r="I14" s="115"/>
      <c r="J14" s="115"/>
      <c r="K14" s="100"/>
      <c r="L14" s="141"/>
      <c r="M14" s="115"/>
      <c r="N14" s="115"/>
      <c r="O14" s="115"/>
      <c r="P14" s="17"/>
      <c r="Q14" s="85"/>
    </row>
    <row r="15" spans="1:18" x14ac:dyDescent="0.25">
      <c r="A15" s="59" t="s">
        <v>23</v>
      </c>
      <c r="C15" s="125"/>
      <c r="D15" s="126"/>
      <c r="E15" s="127"/>
      <c r="F15" s="125"/>
      <c r="G15" s="126"/>
      <c r="H15" s="127"/>
      <c r="I15" s="127"/>
      <c r="J15" s="127"/>
      <c r="K15" s="127"/>
      <c r="L15" s="126"/>
      <c r="M15" s="127"/>
      <c r="N15" s="127"/>
      <c r="O15" s="127"/>
      <c r="Q15" s="85"/>
    </row>
    <row r="16" spans="1:18" x14ac:dyDescent="0.25">
      <c r="A16" s="60" t="s">
        <v>11</v>
      </c>
      <c r="B16" s="41" t="s">
        <v>165</v>
      </c>
      <c r="C16" s="94">
        <f t="shared" ref="C16:C21" si="3">D16-G16</f>
        <v>7.1999999999999886</v>
      </c>
      <c r="D16" s="95">
        <f t="shared" ref="D16:D19" si="4">G16+(G16*$C$33)</f>
        <v>307.2</v>
      </c>
      <c r="E16" s="127"/>
      <c r="F16" s="89">
        <f t="shared" ref="F16:F21" si="5">G16-L16</f>
        <v>-100</v>
      </c>
      <c r="G16" s="126">
        <v>300</v>
      </c>
      <c r="H16" s="96">
        <f>G16/12*10</f>
        <v>250</v>
      </c>
      <c r="I16" s="127">
        <v>6.09</v>
      </c>
      <c r="J16" s="96">
        <f>H16-I16</f>
        <v>243.91</v>
      </c>
      <c r="K16" s="127"/>
      <c r="L16" s="126">
        <v>400</v>
      </c>
      <c r="M16" s="96">
        <f t="shared" ref="M16:M21" si="6">L16/12*10</f>
        <v>333.33333333333337</v>
      </c>
      <c r="N16" s="127">
        <v>90</v>
      </c>
      <c r="O16" s="91">
        <f t="shared" ref="O16:O21" si="7">M16-N16</f>
        <v>243.33333333333337</v>
      </c>
      <c r="Q16" s="176"/>
    </row>
    <row r="17" spans="1:18" x14ac:dyDescent="0.25">
      <c r="A17" s="60" t="s">
        <v>16</v>
      </c>
      <c r="B17" s="93" t="s">
        <v>165</v>
      </c>
      <c r="C17" s="94">
        <f t="shared" si="3"/>
        <v>1.2000000000000028</v>
      </c>
      <c r="D17" s="95">
        <f t="shared" si="4"/>
        <v>51.2</v>
      </c>
      <c r="E17" s="127"/>
      <c r="F17" s="89">
        <f t="shared" si="5"/>
        <v>0</v>
      </c>
      <c r="G17" s="126">
        <v>50</v>
      </c>
      <c r="H17" s="96">
        <f t="shared" ref="H17:H21" si="8">G17/12*10</f>
        <v>41.666666666666671</v>
      </c>
      <c r="I17" s="127">
        <v>0</v>
      </c>
      <c r="J17" s="96">
        <f t="shared" ref="J17:J21" si="9">H17-I17</f>
        <v>41.666666666666671</v>
      </c>
      <c r="K17" s="127"/>
      <c r="L17" s="126">
        <v>50</v>
      </c>
      <c r="M17" s="96">
        <f t="shared" si="6"/>
        <v>41.666666666666671</v>
      </c>
      <c r="N17" s="127">
        <v>0</v>
      </c>
      <c r="O17" s="91">
        <f t="shared" si="7"/>
        <v>41.666666666666671</v>
      </c>
      <c r="Q17" s="85"/>
    </row>
    <row r="18" spans="1:18" x14ac:dyDescent="0.25">
      <c r="A18" s="60" t="s">
        <v>12</v>
      </c>
      <c r="B18" s="93" t="s">
        <v>165</v>
      </c>
      <c r="C18" s="94">
        <f t="shared" si="3"/>
        <v>1.2000000000000028</v>
      </c>
      <c r="D18" s="95">
        <f t="shared" si="4"/>
        <v>51.2</v>
      </c>
      <c r="E18" s="127"/>
      <c r="F18" s="89">
        <f t="shared" si="5"/>
        <v>-3</v>
      </c>
      <c r="G18" s="126">
        <v>50</v>
      </c>
      <c r="H18" s="96">
        <f t="shared" si="8"/>
        <v>41.666666666666671</v>
      </c>
      <c r="I18" s="127">
        <v>45</v>
      </c>
      <c r="J18" s="96">
        <f t="shared" si="9"/>
        <v>-3.3333333333333286</v>
      </c>
      <c r="K18" s="127"/>
      <c r="L18" s="126">
        <v>53</v>
      </c>
      <c r="M18" s="96">
        <f t="shared" si="6"/>
        <v>44.166666666666671</v>
      </c>
      <c r="N18" s="127">
        <v>45</v>
      </c>
      <c r="O18" s="91">
        <f t="shared" si="7"/>
        <v>-0.8333333333333286</v>
      </c>
      <c r="Q18" s="85"/>
    </row>
    <row r="19" spans="1:18" x14ac:dyDescent="0.25">
      <c r="A19" s="60" t="s">
        <v>171</v>
      </c>
      <c r="B19" s="93" t="s">
        <v>165</v>
      </c>
      <c r="C19" s="94">
        <f t="shared" si="3"/>
        <v>2.4000000000000057</v>
      </c>
      <c r="D19" s="95">
        <f t="shared" si="4"/>
        <v>102.4</v>
      </c>
      <c r="E19" s="127"/>
      <c r="F19" s="89">
        <f t="shared" si="5"/>
        <v>50</v>
      </c>
      <c r="G19" s="126">
        <v>100</v>
      </c>
      <c r="H19" s="96">
        <f t="shared" si="8"/>
        <v>83.333333333333343</v>
      </c>
      <c r="I19" s="127">
        <v>30</v>
      </c>
      <c r="J19" s="96">
        <f t="shared" si="9"/>
        <v>53.333333333333343</v>
      </c>
      <c r="K19" s="127"/>
      <c r="L19" s="126">
        <v>50</v>
      </c>
      <c r="M19" s="96">
        <f t="shared" si="6"/>
        <v>41.666666666666671</v>
      </c>
      <c r="N19" s="127">
        <v>165</v>
      </c>
      <c r="O19" s="91">
        <f t="shared" si="7"/>
        <v>-123.33333333333333</v>
      </c>
      <c r="Q19" s="85"/>
    </row>
    <row r="20" spans="1:18" x14ac:dyDescent="0.25">
      <c r="A20" s="60" t="s">
        <v>126</v>
      </c>
      <c r="C20" s="94">
        <f t="shared" si="3"/>
        <v>-587.20000000000005</v>
      </c>
      <c r="D20" s="126">
        <v>0</v>
      </c>
      <c r="E20" s="127"/>
      <c r="F20" s="89">
        <f t="shared" si="5"/>
        <v>587.20000000000005</v>
      </c>
      <c r="G20" s="126">
        <v>587.20000000000005</v>
      </c>
      <c r="H20" s="96">
        <f t="shared" si="8"/>
        <v>489.33333333333337</v>
      </c>
      <c r="I20" s="127">
        <v>0</v>
      </c>
      <c r="J20" s="96">
        <f t="shared" si="9"/>
        <v>489.33333333333337</v>
      </c>
      <c r="K20" s="127"/>
      <c r="L20" s="126">
        <v>0</v>
      </c>
      <c r="M20" s="96">
        <f t="shared" si="6"/>
        <v>0</v>
      </c>
      <c r="N20" s="127">
        <v>120</v>
      </c>
      <c r="O20" s="91">
        <f t="shared" si="7"/>
        <v>-120</v>
      </c>
      <c r="Q20" s="280" t="s">
        <v>265</v>
      </c>
    </row>
    <row r="21" spans="1:18" x14ac:dyDescent="0.25">
      <c r="A21" s="60" t="s">
        <v>154</v>
      </c>
      <c r="C21" s="94">
        <f t="shared" si="3"/>
        <v>53.650793650793652</v>
      </c>
      <c r="D21" s="126">
        <f>Reserves!W10</f>
        <v>53.650793650793652</v>
      </c>
      <c r="E21" s="127"/>
      <c r="F21" s="89">
        <f t="shared" si="5"/>
        <v>0</v>
      </c>
      <c r="G21" s="126"/>
      <c r="H21" s="96">
        <f t="shared" si="8"/>
        <v>0</v>
      </c>
      <c r="I21" s="127">
        <v>0</v>
      </c>
      <c r="J21" s="96">
        <f t="shared" si="9"/>
        <v>0</v>
      </c>
      <c r="K21" s="127"/>
      <c r="L21" s="126">
        <v>0</v>
      </c>
      <c r="M21" s="96">
        <f t="shared" si="6"/>
        <v>0</v>
      </c>
      <c r="N21" s="127">
        <v>0</v>
      </c>
      <c r="O21" s="91">
        <f t="shared" si="7"/>
        <v>0</v>
      </c>
      <c r="Q21" s="85"/>
    </row>
    <row r="22" spans="1:18" x14ac:dyDescent="0.25">
      <c r="A22" s="60"/>
      <c r="C22" s="125"/>
      <c r="D22" s="126"/>
      <c r="E22" s="127"/>
      <c r="F22" s="125"/>
      <c r="G22" s="126"/>
      <c r="H22" s="127"/>
      <c r="I22" s="127"/>
      <c r="J22" s="127"/>
      <c r="K22" s="127"/>
      <c r="L22" s="126"/>
      <c r="M22" s="127"/>
      <c r="N22" s="127"/>
      <c r="O22" s="127"/>
      <c r="Q22" s="85"/>
    </row>
    <row r="23" spans="1:18" s="142" customFormat="1" ht="15.75" thickBot="1" x14ac:dyDescent="0.3">
      <c r="A23" s="148" t="s">
        <v>170</v>
      </c>
      <c r="C23" s="149">
        <f t="shared" ref="C23:D23" si="10">SUM(C15:C21)</f>
        <v>-521.54920634920643</v>
      </c>
      <c r="D23" s="150">
        <f t="shared" si="10"/>
        <v>565.65079365079362</v>
      </c>
      <c r="E23" s="151"/>
      <c r="F23" s="149">
        <f t="shared" ref="F23:J23" si="11">SUM(F15:F21)</f>
        <v>534.20000000000005</v>
      </c>
      <c r="G23" s="150">
        <f t="shared" si="11"/>
        <v>1087.2</v>
      </c>
      <c r="H23" s="148">
        <f t="shared" si="11"/>
        <v>906.00000000000011</v>
      </c>
      <c r="I23" s="148">
        <f t="shared" si="11"/>
        <v>81.09</v>
      </c>
      <c r="J23" s="148">
        <f t="shared" si="11"/>
        <v>824.91000000000008</v>
      </c>
      <c r="K23" s="151"/>
      <c r="L23" s="150">
        <f>SUM(L15:L21)</f>
        <v>553</v>
      </c>
      <c r="M23" s="148">
        <f t="shared" ref="M23:O23" si="12">SUM(M15:M21)</f>
        <v>460.83333333333343</v>
      </c>
      <c r="N23" s="148">
        <f t="shared" si="12"/>
        <v>420</v>
      </c>
      <c r="O23" s="148">
        <f t="shared" si="12"/>
        <v>40.833333333333428</v>
      </c>
      <c r="Q23" s="103"/>
    </row>
    <row r="24" spans="1:18" x14ac:dyDescent="0.25">
      <c r="A24" s="44"/>
      <c r="C24" s="125"/>
      <c r="D24" s="134"/>
      <c r="E24" s="127"/>
      <c r="F24" s="125"/>
      <c r="G24" s="134"/>
      <c r="H24" s="127"/>
      <c r="I24" s="127"/>
      <c r="J24" s="127"/>
      <c r="K24" s="127"/>
      <c r="L24" s="134"/>
      <c r="M24" s="127"/>
      <c r="N24" s="135"/>
      <c r="O24" s="127"/>
      <c r="Q24" s="85"/>
    </row>
    <row r="25" spans="1:18" x14ac:dyDescent="0.25">
      <c r="A25" s="60" t="s">
        <v>91</v>
      </c>
      <c r="C25" s="94">
        <f>D25-G25</f>
        <v>0</v>
      </c>
      <c r="D25" s="126">
        <v>400</v>
      </c>
      <c r="E25" s="127"/>
      <c r="F25" s="89">
        <f>G25-L25</f>
        <v>0</v>
      </c>
      <c r="G25" s="126">
        <v>400</v>
      </c>
      <c r="H25" s="96">
        <f t="shared" ref="H25" si="13">G25/12*10</f>
        <v>333.33333333333337</v>
      </c>
      <c r="I25" s="127">
        <v>0</v>
      </c>
      <c r="J25" s="96">
        <f t="shared" ref="J25" si="14">H25-I25</f>
        <v>333.33333333333337</v>
      </c>
      <c r="K25" s="127"/>
      <c r="L25" s="126">
        <v>400</v>
      </c>
      <c r="M25" s="96">
        <f>L25/12*10</f>
        <v>333.33333333333337</v>
      </c>
      <c r="N25" s="127">
        <v>0</v>
      </c>
      <c r="O25" s="91">
        <f>M25-N25</f>
        <v>333.33333333333337</v>
      </c>
      <c r="Q25" s="85"/>
    </row>
    <row r="26" spans="1:18" x14ac:dyDescent="0.25">
      <c r="A26" s="60"/>
      <c r="C26" s="125"/>
      <c r="D26" s="126"/>
      <c r="E26" s="127"/>
      <c r="F26" s="125"/>
      <c r="G26" s="126"/>
      <c r="H26" s="127"/>
      <c r="I26" s="127"/>
      <c r="J26" s="127"/>
      <c r="K26" s="127"/>
      <c r="L26" s="126"/>
      <c r="M26" s="127"/>
      <c r="N26" s="127"/>
      <c r="O26" s="127"/>
      <c r="Q26" s="85"/>
    </row>
    <row r="27" spans="1:18" s="142" customFormat="1" ht="15.75" thickBot="1" x14ac:dyDescent="0.3">
      <c r="A27" s="148" t="s">
        <v>168</v>
      </c>
      <c r="C27" s="149">
        <f t="shared" ref="C27:D27" si="15">C13+C23+C25</f>
        <v>-303.78920634920644</v>
      </c>
      <c r="D27" s="150">
        <f t="shared" si="15"/>
        <v>2323.4107936507935</v>
      </c>
      <c r="E27" s="151"/>
      <c r="F27" s="149">
        <f t="shared" ref="F27:J27" si="16">F13+F23+F25</f>
        <v>634.20000000000005</v>
      </c>
      <c r="G27" s="150">
        <f t="shared" si="16"/>
        <v>2627.2</v>
      </c>
      <c r="H27" s="148">
        <f t="shared" si="16"/>
        <v>2189.3333333333335</v>
      </c>
      <c r="I27" s="148">
        <f t="shared" si="16"/>
        <v>1221.0899999999999</v>
      </c>
      <c r="J27" s="148">
        <f t="shared" si="16"/>
        <v>968.24333333333345</v>
      </c>
      <c r="K27" s="151"/>
      <c r="L27" s="150">
        <f t="shared" ref="L27:M27" si="17">L13+L23+L25</f>
        <v>1993</v>
      </c>
      <c r="M27" s="148">
        <f t="shared" si="17"/>
        <v>1660.8333333333335</v>
      </c>
      <c r="N27" s="148">
        <f>N13+N23+N25</f>
        <v>1176.77</v>
      </c>
      <c r="O27" s="148">
        <f>O13+O23+O25</f>
        <v>484.06333333333356</v>
      </c>
      <c r="Q27" s="154"/>
    </row>
    <row r="28" spans="1:18" x14ac:dyDescent="0.25">
      <c r="A28" s="44"/>
      <c r="C28" s="125"/>
      <c r="D28" s="134"/>
      <c r="E28" s="127"/>
      <c r="F28" s="125"/>
      <c r="G28" s="134"/>
      <c r="H28" s="127"/>
      <c r="I28" s="127"/>
      <c r="J28" s="127"/>
      <c r="K28" s="127"/>
      <c r="L28" s="134"/>
      <c r="M28" s="127"/>
      <c r="N28" s="135"/>
      <c r="O28" s="127"/>
      <c r="Q28" s="86"/>
    </row>
    <row r="29" spans="1:18" x14ac:dyDescent="0.25">
      <c r="A29" s="44" t="s">
        <v>99</v>
      </c>
      <c r="C29" s="94">
        <f>D29-G29</f>
        <v>-200</v>
      </c>
      <c r="D29" s="126">
        <f>Reserves!F10</f>
        <v>300</v>
      </c>
      <c r="E29" s="127"/>
      <c r="F29" s="89">
        <f>G29-L29</f>
        <v>0</v>
      </c>
      <c r="G29" s="126">
        <v>500</v>
      </c>
      <c r="H29" s="96">
        <f t="shared" ref="H29" si="18">G29/12*10</f>
        <v>416.66666666666663</v>
      </c>
      <c r="I29" s="127">
        <v>0</v>
      </c>
      <c r="J29" s="96">
        <f t="shared" ref="J29" si="19">H29-I29</f>
        <v>416.66666666666663</v>
      </c>
      <c r="K29" s="127"/>
      <c r="L29" s="126">
        <v>500</v>
      </c>
      <c r="M29" s="96">
        <f>L29/12*10</f>
        <v>416.66666666666663</v>
      </c>
      <c r="N29" s="127">
        <v>375</v>
      </c>
      <c r="O29" s="91">
        <f>M29-N29</f>
        <v>41.666666666666629</v>
      </c>
    </row>
    <row r="30" spans="1:18" x14ac:dyDescent="0.25">
      <c r="A30" s="44"/>
      <c r="C30" s="125"/>
      <c r="D30" s="126"/>
      <c r="E30" s="127"/>
      <c r="F30" s="125"/>
      <c r="G30" s="126"/>
      <c r="H30" s="127"/>
      <c r="I30" s="127"/>
      <c r="J30" s="127"/>
      <c r="K30" s="127"/>
      <c r="L30" s="126"/>
      <c r="M30" s="127"/>
      <c r="N30" s="127"/>
      <c r="O30" s="127"/>
    </row>
    <row r="31" spans="1:18" s="142" customFormat="1" ht="15.75" thickBot="1" x14ac:dyDescent="0.3">
      <c r="A31" s="148" t="s">
        <v>1</v>
      </c>
      <c r="C31" s="138">
        <f t="shared" ref="C31:D31" si="20">SUM(C27:C30)</f>
        <v>-503.78920634920644</v>
      </c>
      <c r="D31" s="139">
        <f t="shared" si="20"/>
        <v>2623.4107936507935</v>
      </c>
      <c r="E31" s="151"/>
      <c r="F31" s="138">
        <f t="shared" ref="F31:J31" si="21">SUM(F27:F30)</f>
        <v>634.20000000000005</v>
      </c>
      <c r="G31" s="139">
        <f t="shared" si="21"/>
        <v>3127.2</v>
      </c>
      <c r="H31" s="140">
        <f t="shared" si="21"/>
        <v>2606</v>
      </c>
      <c r="I31" s="140">
        <f t="shared" si="21"/>
        <v>1221.0899999999999</v>
      </c>
      <c r="J31" s="140">
        <f t="shared" si="21"/>
        <v>1384.91</v>
      </c>
      <c r="K31" s="151"/>
      <c r="L31" s="139">
        <f>SUM(L27:L30)</f>
        <v>2493</v>
      </c>
      <c r="M31" s="140">
        <f t="shared" ref="M31:O31" si="22">SUM(M27:M30)</f>
        <v>2077.5</v>
      </c>
      <c r="N31" s="140">
        <f t="shared" si="22"/>
        <v>1551.77</v>
      </c>
      <c r="O31" s="140">
        <f t="shared" si="22"/>
        <v>525.73000000000025</v>
      </c>
      <c r="Q31" s="169">
        <f>SUM(C31:P31)</f>
        <v>17741.021587301588</v>
      </c>
      <c r="R31" s="170" t="s">
        <v>173</v>
      </c>
    </row>
    <row r="33" spans="1:3" x14ac:dyDescent="0.25">
      <c r="A33" s="5" t="s">
        <v>164</v>
      </c>
      <c r="B33" s="5"/>
      <c r="C33" s="110">
        <f>Summary!$C$26</f>
        <v>2.4E-2</v>
      </c>
    </row>
  </sheetData>
  <sheetProtection algorithmName="SHA-512" hashValue="V9uswSUqUygPU7PatTK535miUjLiN3Cpl+u4NUcWb+u6LppBIlB5ZfguvtnJ5fp01cOE89mlrHNStKK0pWpyHw==" saltValue="Vpu9rxQHEduvIUw7WveFMQ==" spinCount="100000" sheet="1" objects="1" scenarios="1"/>
  <mergeCells count="10">
    <mergeCell ref="C4:D4"/>
    <mergeCell ref="G4:J4"/>
    <mergeCell ref="L4:O4"/>
    <mergeCell ref="C5:C6"/>
    <mergeCell ref="D5:D6"/>
    <mergeCell ref="F5:F6"/>
    <mergeCell ref="G5:H5"/>
    <mergeCell ref="L5:M5"/>
    <mergeCell ref="H6:J6"/>
    <mergeCell ref="M6:O6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8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Reserves</vt:lpstr>
      <vt:lpstr>Summary</vt:lpstr>
      <vt:lpstr>Communal Management Costs</vt:lpstr>
      <vt:lpstr>Leisure Suite</vt:lpstr>
      <vt:lpstr>Insurance</vt:lpstr>
      <vt:lpstr>Alexandra</vt:lpstr>
      <vt:lpstr>Alexandra Building</vt:lpstr>
      <vt:lpstr>Cliffe</vt:lpstr>
      <vt:lpstr>Edward</vt:lpstr>
      <vt:lpstr>Kingswood</vt:lpstr>
      <vt:lpstr>Muxlow </vt:lpstr>
      <vt:lpstr>Peveril</vt:lpstr>
      <vt:lpstr>Sheaf 1</vt:lpstr>
      <vt:lpstr>Sheaf 2</vt:lpstr>
      <vt:lpstr>Sheaf 3 Apts</vt:lpstr>
      <vt:lpstr>Sheaf 3 Building</vt:lpstr>
      <vt:lpstr>Victoria</vt:lpstr>
      <vt:lpstr>Alexandra!Print_Titles</vt:lpstr>
    </vt:vector>
  </TitlesOfParts>
  <Company>Mainstay Group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stuartbu</dc:creator>
  <cp:lastModifiedBy>Tracey Baker</cp:lastModifiedBy>
  <cp:lastPrinted>2017-12-05T19:08:37Z</cp:lastPrinted>
  <dcterms:created xsi:type="dcterms:W3CDTF">2011-06-09T15:13:02Z</dcterms:created>
  <dcterms:modified xsi:type="dcterms:W3CDTF">2019-01-03T08:56:28Z</dcterms:modified>
  <cp:contentStatus/>
</cp:coreProperties>
</file>